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MALAWI_FINAL/"/>
    </mc:Choice>
  </mc:AlternateContent>
  <xr:revisionPtr revIDLastSave="0" documentId="8_{7D377AB1-B83A-AC47-834B-FD9B5481ED7A}" xr6:coauthVersionLast="47" xr6:coauthVersionMax="47" xr10:uidLastSave="{00000000-0000-0000-0000-000000000000}"/>
  <bookViews>
    <workbookView xWindow="28840" yWindow="460" windowWidth="38360" windowHeight="21140" xr2:uid="{EA6B5CCA-FA07-E646-99B2-9386C577BCA6}"/>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2" l="1"/>
  <c r="O47" i="2" s="1"/>
  <c r="J47" i="2"/>
  <c r="M46" i="2"/>
  <c r="O46" i="2" s="1"/>
  <c r="O45" i="2"/>
  <c r="M45" i="2"/>
  <c r="M44" i="2"/>
  <c r="O44" i="2" s="1"/>
  <c r="O43" i="2"/>
  <c r="M43" i="2"/>
  <c r="M42" i="2"/>
  <c r="O42" i="2" s="1"/>
  <c r="O41" i="2"/>
  <c r="M41" i="2"/>
  <c r="M40" i="2"/>
  <c r="O40" i="2" s="1"/>
  <c r="O39" i="2"/>
  <c r="M39" i="2"/>
  <c r="M38" i="2"/>
  <c r="O38" i="2" s="1"/>
  <c r="O48" i="2" s="1"/>
  <c r="O36" i="2"/>
  <c r="M36" i="2"/>
  <c r="M35" i="2"/>
  <c r="O35" i="2" s="1"/>
  <c r="M34" i="2"/>
  <c r="O34" i="2" s="1"/>
  <c r="M33" i="2"/>
  <c r="O33" i="2" s="1"/>
  <c r="O32" i="2"/>
  <c r="M32" i="2"/>
  <c r="M31" i="2"/>
  <c r="O31" i="2" s="1"/>
  <c r="M30" i="2"/>
  <c r="O30" i="2" s="1"/>
  <c r="M29" i="2"/>
  <c r="O29" i="2" s="1"/>
  <c r="M27" i="2"/>
  <c r="O27" i="2" s="1"/>
  <c r="O26" i="2"/>
  <c r="M26" i="2"/>
  <c r="M25" i="2"/>
  <c r="O25" i="2" s="1"/>
  <c r="O24" i="2"/>
  <c r="M24" i="2"/>
  <c r="M23" i="2"/>
  <c r="O23" i="2" s="1"/>
  <c r="O22" i="2"/>
  <c r="M22" i="2"/>
  <c r="M21" i="2"/>
  <c r="O21" i="2" s="1"/>
  <c r="O19" i="2"/>
  <c r="M19" i="2"/>
  <c r="M18" i="2"/>
  <c r="O18" i="2" s="1"/>
  <c r="M17" i="2"/>
  <c r="O17" i="2" s="1"/>
  <c r="M16" i="2"/>
  <c r="O16" i="2" s="1"/>
  <c r="O15" i="2"/>
  <c r="M15" i="2"/>
  <c r="M14" i="2"/>
  <c r="O14" i="2" s="1"/>
  <c r="M13" i="2"/>
  <c r="O13" i="2" s="1"/>
  <c r="M12" i="2"/>
  <c r="O12" i="2" s="1"/>
  <c r="O11" i="2"/>
  <c r="M11" i="2"/>
  <c r="M10" i="2"/>
  <c r="O10" i="2" s="1"/>
  <c r="M9" i="2"/>
  <c r="O9" i="2" s="1"/>
  <c r="O28" i="2" l="1"/>
  <c r="O49" i="2"/>
  <c r="O20" i="2"/>
  <c r="O37" i="2"/>
  <c r="L46" i="1" l="1"/>
  <c r="H46" i="1"/>
  <c r="I46" i="1" s="1"/>
  <c r="G46" i="1"/>
  <c r="D46" i="1"/>
  <c r="E46" i="1" s="1"/>
  <c r="L45" i="1"/>
  <c r="H45" i="1"/>
  <c r="I45" i="1" s="1"/>
  <c r="F45" i="1"/>
  <c r="G45" i="1" s="1"/>
  <c r="D45" i="1"/>
  <c r="E45" i="1" s="1"/>
  <c r="L44" i="1"/>
  <c r="H44" i="1"/>
  <c r="I44" i="1" s="1"/>
  <c r="F44" i="1"/>
  <c r="G44" i="1" s="1"/>
  <c r="D44" i="1"/>
  <c r="E44" i="1" s="1"/>
  <c r="L43" i="1"/>
  <c r="H43" i="1"/>
  <c r="I43" i="1" s="1"/>
  <c r="F43" i="1"/>
  <c r="G43" i="1" s="1"/>
  <c r="D43" i="1"/>
  <c r="E43" i="1" s="1"/>
  <c r="J42" i="1"/>
  <c r="L42" i="1" s="1"/>
  <c r="H42" i="1"/>
  <c r="I42" i="1" s="1"/>
  <c r="G42" i="1"/>
  <c r="D42" i="1"/>
  <c r="E42" i="1" s="1"/>
  <c r="J41" i="1"/>
  <c r="L41" i="1" s="1"/>
  <c r="H41" i="1"/>
  <c r="I41" i="1" s="1"/>
  <c r="G41" i="1"/>
  <c r="E41" i="1"/>
  <c r="D41" i="1"/>
  <c r="J40" i="1"/>
  <c r="L40" i="1" s="1"/>
  <c r="I40" i="1"/>
  <c r="G40" i="1"/>
  <c r="D40" i="1"/>
  <c r="E40" i="1" s="1"/>
  <c r="J39" i="1"/>
  <c r="L39" i="1" s="1"/>
  <c r="I39" i="1"/>
  <c r="G39" i="1"/>
  <c r="D39" i="1"/>
  <c r="E39" i="1" s="1"/>
  <c r="J38" i="1"/>
  <c r="L38" i="1" s="1"/>
  <c r="H38" i="1"/>
  <c r="I38" i="1" s="1"/>
  <c r="G38" i="1"/>
  <c r="D38" i="1"/>
  <c r="E38" i="1" s="1"/>
  <c r="L37" i="1"/>
  <c r="H37" i="1"/>
  <c r="I37" i="1" s="1"/>
  <c r="G37" i="1"/>
  <c r="D37" i="1"/>
  <c r="E37" i="1" s="1"/>
  <c r="J36" i="1"/>
  <c r="L36" i="1" s="1"/>
  <c r="I36" i="1"/>
  <c r="G36" i="1"/>
  <c r="E36" i="1"/>
  <c r="J35" i="1"/>
  <c r="L35" i="1" s="1"/>
  <c r="H35" i="1"/>
  <c r="I35" i="1" s="1"/>
  <c r="G35" i="1"/>
  <c r="D35" i="1"/>
  <c r="E35" i="1" s="1"/>
  <c r="J34" i="1"/>
  <c r="L34" i="1" s="1"/>
  <c r="H34" i="1"/>
  <c r="I34" i="1" s="1"/>
  <c r="G34" i="1"/>
  <c r="E34" i="1"/>
  <c r="L33" i="1"/>
  <c r="H33" i="1"/>
  <c r="I33" i="1" s="1"/>
  <c r="G33" i="1"/>
  <c r="D33" i="1"/>
  <c r="E33" i="1" s="1"/>
  <c r="J32" i="1"/>
  <c r="L32" i="1" s="1"/>
  <c r="H32" i="1"/>
  <c r="I32" i="1" s="1"/>
  <c r="G32" i="1"/>
  <c r="D32" i="1"/>
  <c r="E32" i="1" s="1"/>
  <c r="J31" i="1"/>
  <c r="L31" i="1" s="1"/>
  <c r="I31" i="1"/>
  <c r="G31" i="1"/>
  <c r="E31" i="1"/>
  <c r="L30" i="1"/>
  <c r="I30" i="1"/>
  <c r="G30" i="1"/>
  <c r="D30" i="1"/>
  <c r="E30" i="1" s="1"/>
  <c r="J28" i="1"/>
  <c r="L28" i="1" s="1"/>
  <c r="H28" i="1"/>
  <c r="I28" i="1" s="1"/>
  <c r="F28" i="1"/>
  <c r="G28" i="1" s="1"/>
  <c r="D28" i="1"/>
  <c r="E28" i="1" s="1"/>
  <c r="L27" i="1"/>
  <c r="H27" i="1"/>
  <c r="I27" i="1" s="1"/>
  <c r="F27" i="1"/>
  <c r="G27" i="1" s="1"/>
  <c r="D27" i="1"/>
  <c r="E27" i="1" s="1"/>
  <c r="L26" i="1"/>
  <c r="H26" i="1"/>
  <c r="I26" i="1" s="1"/>
  <c r="G26" i="1"/>
  <c r="D26" i="1"/>
  <c r="E26" i="1" s="1"/>
  <c r="L25" i="1"/>
  <c r="I25" i="1"/>
  <c r="G25" i="1"/>
  <c r="D25" i="1"/>
  <c r="E25" i="1" s="1"/>
  <c r="L24" i="1"/>
  <c r="I24" i="1"/>
  <c r="G24" i="1"/>
  <c r="D24" i="1"/>
  <c r="E24" i="1" s="1"/>
  <c r="J23" i="1"/>
  <c r="L23" i="1" s="1"/>
  <c r="H23" i="1"/>
  <c r="I23" i="1" s="1"/>
  <c r="G23" i="1"/>
  <c r="D23" i="1"/>
  <c r="E23" i="1" s="1"/>
  <c r="J22" i="1"/>
  <c r="L22" i="1" s="1"/>
  <c r="I22" i="1"/>
  <c r="F22" i="1"/>
  <c r="G22" i="1" s="1"/>
  <c r="D22" i="1"/>
  <c r="E22" i="1" s="1"/>
  <c r="J21" i="1"/>
  <c r="L21" i="1" s="1"/>
  <c r="H21" i="1"/>
  <c r="I21" i="1" s="1"/>
  <c r="F21" i="1"/>
  <c r="G21" i="1" s="1"/>
  <c r="D21" i="1"/>
  <c r="E21" i="1" s="1"/>
  <c r="L20" i="1"/>
  <c r="H20" i="1"/>
  <c r="I20" i="1" s="1"/>
  <c r="F20" i="1"/>
  <c r="G20" i="1" s="1"/>
  <c r="D20" i="1"/>
  <c r="E20" i="1" s="1"/>
  <c r="L19" i="1"/>
  <c r="H19" i="1"/>
  <c r="I19" i="1" s="1"/>
  <c r="F19" i="1"/>
  <c r="G19" i="1" s="1"/>
  <c r="D19" i="1"/>
  <c r="E19" i="1" s="1"/>
</calcChain>
</file>

<file path=xl/sharedStrings.xml><?xml version="1.0" encoding="utf-8"?>
<sst xmlns="http://schemas.openxmlformats.org/spreadsheetml/2006/main" count="425" uniqueCount="328">
  <si>
    <t>GLOBAL ACTION PLAN ON CHILD WASTING</t>
  </si>
  <si>
    <t>Country Operational Roadmap</t>
  </si>
  <si>
    <t>CHILD WASTING:  GLOBAL TARGETS AND NATIONAL PREVALENCE</t>
  </si>
  <si>
    <t>National Target (2030)</t>
  </si>
  <si>
    <t>By 2030, reduce the proportion of children under-five who are stunted to 18%</t>
  </si>
  <si>
    <t>Global Target (2025)</t>
  </si>
  <si>
    <t>By 2030, reduce the proportion of low birthweight babies to 8%</t>
  </si>
  <si>
    <t>By 2030, reduce the proportion of women of reproductive age (15-49 years) who are anaemic to 16%</t>
  </si>
  <si>
    <t>By 2030, reduce reduce and maintain childhood wasting to less than 2.5%</t>
  </si>
  <si>
    <t xml:space="preserve">CHILD UNDERNUTRITION:  A NATIONAL AND SUB-NATIONAL SNAPSHOT </t>
  </si>
  <si>
    <t>National</t>
  </si>
  <si>
    <t>Sub-National 
(Second Tier Administrative Boundaries)</t>
  </si>
  <si>
    <t>STUNTING</t>
  </si>
  <si>
    <t>Low Birthweight</t>
  </si>
  <si>
    <t>Anaemia (WRA)</t>
  </si>
  <si>
    <t>Wasting Prevalence</t>
  </si>
  <si>
    <t xml:space="preserve">Current (%)
</t>
  </si>
  <si>
    <t xml:space="preserve">2030 Target (%)
</t>
  </si>
  <si>
    <t>Malawi</t>
  </si>
  <si>
    <t>Balaka</t>
  </si>
  <si>
    <t>Blantyre</t>
  </si>
  <si>
    <t>Chikwawa</t>
  </si>
  <si>
    <t>Chiradzulu</t>
  </si>
  <si>
    <t>Chitipa</t>
  </si>
  <si>
    <t>Dedza</t>
  </si>
  <si>
    <t>Dowa</t>
  </si>
  <si>
    <t>Karonga</t>
  </si>
  <si>
    <t>Kasungu</t>
  </si>
  <si>
    <t>Lilongwe</t>
  </si>
  <si>
    <t>Likoma</t>
  </si>
  <si>
    <t>Machinga</t>
  </si>
  <si>
    <t>Mangochi</t>
  </si>
  <si>
    <t>Mchinji</t>
  </si>
  <si>
    <t>Mulanje</t>
  </si>
  <si>
    <t>Mwanza</t>
  </si>
  <si>
    <t>Mzimba</t>
  </si>
  <si>
    <t>Neno</t>
  </si>
  <si>
    <t>Nkhatabay</t>
  </si>
  <si>
    <t>Nkhotakota</t>
  </si>
  <si>
    <t>Nsanje</t>
  </si>
  <si>
    <t>Ntcheu</t>
  </si>
  <si>
    <t>Ntchisi</t>
  </si>
  <si>
    <t>Phalombe</t>
  </si>
  <si>
    <t>Rumphi</t>
  </si>
  <si>
    <t>Salima</t>
  </si>
  <si>
    <t>Thyolo</t>
  </si>
  <si>
    <t>Zomba</t>
  </si>
  <si>
    <t>BACKGROUND</t>
  </si>
  <si>
    <t xml:space="preserve">Classified by the United Nations as a low human development country (presently ranked 174 out of 185 countries) (UNDP, 2020), Malawi has multiple poor food and nutrition security challenges. Because rain-fed agriculture drives the national economy, food production is often at the mercy of climatic conditions, with unstable and poorly diversified food supplies resulting in up to 37% of children under-5 being  chronically undernourished (stunted); with 92% of those aged 6–23 months not meeting their minimum acceptable diet; and, 61% of children under the age of 6 months are exclusively breastfed, median duration of 4 months (National Statistical Office [NSO] Malawi &amp; ICF, 2017); and, there are widespread deficiencies of zinc (60%) and iron (22%) among under-5 children (National Statistical Office (NSO), Community Health Sciences Unit (CHSU) [Malawi], Centers for Disease Control and Prevention (CDC), and Emory University, 2017). Consequently, in 2012 alone, Malawi lost US$597 million (10.3% of the gross domestic product, GDP) due to losses in education, health and productivity arising from undernutrition in childhood (Malawi Government, 2015).  Infant and child mortality rates have been steadily declining. For example, under-5 mortality has declined from 234/1,000 livebirths in 1992, to 63/1,000 in 2015/16 (National Statistical Office [NSO] Malawi &amp; ICF, 2017). Similarly, infant mortality 135/1,000 to 42/1,000 livebirths. As of 2015/16, 61% of children age 12–23 months had received all basic vaccinations at the MDHS, and 70% had received all the basic vaccinations by age of 12 months.
According to latest Global Nutrition Report in 2020, Malawi is 'on course' to meet two targets for maternal, infant and young child nutrition (MIYCN). No progress has been made towards achieving the target of reducing anaemia among women of reproductive age, with 34.4% of women aged 15 to 49 years now affected. Meanwhile, there has also been some progress towards achieving the low birth weight target with 14.5% of infants having a low weight at birth. No progress has been made towards achieving the exclusive breastfeeding target, with 59.4% of infants aged 0 to 5 months exclusively breastfed. Malawi has made some progress towards achieving the target for stunting, but 39.0% of children under 5 years of age are still affected, which is higher than the average for the Africa region (29.1%). Malawi is 'on course' for the target for wasting, with 1.3% of children under 5 years of age affected, which is lower than the average for the Africa region (6.4%). The prevalence of overweight children under 5 years of age is 2.5% and Malawi is 'on course' to prevent the figure from increasing. 
Agriculture remains the backbone of the economy and vital for the livelihoods of most Malawians including national food self-sufficiency and household food and nutrition security. The agricultural sector operates far below its potential and the country faces periodic food shortages (Malawi Government, 2018). Crop production is concentrated on one main food crop (maize) and one main cash crop (tobacco). Maize is by far the most dominant crop grown by almost every farmer in Malawi and accounting for about 50% of the entire planted area (MoAIWD, 2018). As the main source of food, maize has been at the centre of agricultural policies and public expenditures for decades. At the same time, the maize-centred approach to food security has contributed to a limited dietary diversity at household and national levels such that only 25% of the population are able to meet the dietary diversity (Malawi Government, 2018).  Furthermore, the country faces undiversified crop, livestock and fisheries production mix.
Malawi is heavily dependent on its own agricultural productions leading to food consumption patterns being dictated by the agricultural cycle. The country’s harvest season shows low food insecurity while the lean season experiences high food insecurity. Seasonal food insecurity is closely related to low nutritional intake and low dietary diversity in Malawi, with the number of households consuming 4 or more food groups increasing by 35% in the harvest season compared to the lean season in Malawi (DHS, 1992-2015). In addition, child morbidity also peaks during the lean season contributing to the increased child wasting during this period. Wasting increases by 80% in the growing season in Malawi compared to the post-harvest season (3.6% to 6.5%). The finding is consistent with admissions to the community management of acute malnutrition (CMAM).
Despite all the issues mentioned above, the Government of Malawi has demonstrated its capability to reduce the burden of nutritional disorders such as stunting, wasting, underweight, and micronutrient deficiencies of iron, vitamin A and iodine. The reduction in the prevalence of stunting among pre-school children from 47% to 37%, wasting from 6% to 2.7% and vitamin A deficiency from 22% to 4% between 2010 and 2015/16 , is evidence that the right investments in the national nutrition response has potential to succeed. However, undernutrition such as wasting remains public health issue with &gt;150,000 children under five are still at high risk of acute malnutrion (source: acute malnutrition burden estimate based on SMART survey 2020). In addition, Malawi continues to face climate related hazards like droughts and floods followed by food and nutrition insecurity and diseases like diarrhea, pneumonia and malaria.
Given the multifaceted nature of the underlying causes of malnutrition in Malawi, a multisectoral approach that enhances complementarity and linkages of all existing multisectoral, and resilience building approaches is critical to sustain the gains Malawi has achieved over the years. Such an approach will also ensure continued response to both long-term and immediate needs including facilitating early identification of malnutrition and timely management linked to the survival and well-being of families and communities. </t>
  </si>
  <si>
    <t>GEOGRAPHIC PRIORITY AREAS</t>
  </si>
  <si>
    <t xml:space="preserve">Based on multiple deprivation indicators (wasting, Low birthweight, stunning, anemia among women at reproductive age, Minimum Acceptable diet (MAD) and minimum Dietary diversity (MDD)), districts across Malawi were compared to identify the most affected. As a result, 12  out of 29 most affected districts are prioritized for the Global Action Plan on wasting reduction in Malawi. These districts were identified as worst affected by Wasting prevalence, Stunting rates, MAD, MDD, Low Birth weight and Anemia. A careful review also considered in terms of complementarity and convergence among UN agencies holding nutrition specific and nutrition sensitive portfolios. Currently the participating UN agencies have existing programmes (nutrition and resilience) across the country. This programme offers an opportunity to consolidate the efforts of different agencies and achieve economies of scale while providing an integrated package to beneficiaries to address malnutrition.
</t>
  </si>
  <si>
    <t>OUTCOME 1. REDUCED LOW BIRTHWEIGHT BY IMPROVING MATERNAL NUTRITION</t>
  </si>
  <si>
    <t>By 2030, reduce low birthweight by 30%</t>
  </si>
  <si>
    <t>National Target (2025)</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</si>
  <si>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</si>
  <si>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</si>
  <si>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</si>
  <si>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</si>
  <si>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</si>
  <si>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</si>
  <si>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</si>
  <si>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</si>
  <si>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</si>
  <si>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</si>
  <si>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 xml:space="preserve">Health </t>
  </si>
  <si>
    <t>Iron-folate supplementation to pregnant women, and all women 15-49 years.
(National Multi-Sector Nutrition
Strategic Plan 2018–2022, Adolescent Nutrition Strategy, 2020)</t>
  </si>
  <si>
    <t>Iron folate supplementation (adolescent girls and pregnant women)</t>
  </si>
  <si>
    <t>ANC at facility level and community</t>
  </si>
  <si>
    <t xml:space="preserve">Pregnant women </t>
  </si>
  <si>
    <t>Ministry of Health
Implementation, financing</t>
  </si>
  <si>
    <t xml:space="preserve">Procurement of tablets via UNICEF; Support social behavioral change message dissemination (CSOs); Research and pre-service training (Academics) </t>
  </si>
  <si>
    <t>Nutrition education and counselling for adolescent girls and women
(National Multi-Sector Nutrition
Strategic Plan 2018–2022; Adolescent Nutrition Strategy, 20</t>
  </si>
  <si>
    <t>Promote behavioral change intervention (including counselling) on nutrition targeting adolescent girls and women including refugees, migrants and internally displaced women and girls</t>
  </si>
  <si>
    <t>School and community</t>
  </si>
  <si>
    <t xml:space="preserve"> Adolescent girls</t>
  </si>
  <si>
    <t>Ministry of Health and Ministry of Education
Implementation and financing</t>
  </si>
  <si>
    <t xml:space="preserve">Technical and financial support from Unicef; Support social behavioral change message dissemination (CSOs); Research and pre-service training (Academics) </t>
  </si>
  <si>
    <t>Early and regular antenatal and postnatal care attendance
(National Multi-Sector Nutrition
Strategic Plan 2018–2022)</t>
  </si>
  <si>
    <t>Support the promotion and implementation of  antenatal and postnatal services</t>
  </si>
  <si>
    <t>Health facility and community</t>
  </si>
  <si>
    <t>Women of reproductive age; Men; Community leaders</t>
  </si>
  <si>
    <t xml:space="preserve">Ministry  of Health, Ministry of Youth and Sports, Ministry of Information
Implementation, financing </t>
  </si>
  <si>
    <t>Financial support for development of peer to peer nutrition counseling tools (Donors); Technical support for development of peer to peer nutrition counseling tools (Donors and Academics) Dissemination of counseling tools (NGOs)</t>
  </si>
  <si>
    <t>Prevent and control malaria among pregnant and lactating women
(National Multi-Sector Nutrition
Strategic Plan 2018–2022; ANC Guidelines for Malawi 2019; Integrated Maternal and Newborn Health Guidelines, 2015)</t>
  </si>
  <si>
    <t>Prevent and control malaria among pregnant women</t>
  </si>
  <si>
    <t>Ministry of Health and District Councilm- implementation of interventions and molization of resources</t>
  </si>
  <si>
    <t>Procurement and distribution nets UNICEF/WHO; Dispatch tablets (Unicef); Support social behavioral change message dissemination (CSOs);</t>
  </si>
  <si>
    <t>Male involvement in reproductive health
(National Sexual and Reproductive Health and Rights Policy, 2017 - 2022)</t>
  </si>
  <si>
    <t>Community mobilization and creation of enabling environment on importance of male involvement in reproductive health</t>
  </si>
  <si>
    <t>Community and health facilities</t>
  </si>
  <si>
    <t>Men and local leaders</t>
  </si>
  <si>
    <t>Ministry of health, ministry of local government, ministry of information
Implementation and financing of interventions</t>
  </si>
  <si>
    <t>Financial and technical support, messaging(UNICEF)</t>
  </si>
  <si>
    <t>Timely detection, management, and treatment of acute malnutrition among pregnant women 
(Malawi National Resilience Strategy, 2018 - 2030; National Multi-Sector Nutrition
Strategic Plan 2018–2022)</t>
  </si>
  <si>
    <t>Facilitate access to and use of basic health care and nutrition services such as, ANC,  PNC, reproductive health, malaria prevention, nutrition education, water and sanitation including  shock affected households</t>
  </si>
  <si>
    <t>Communities, health facilities</t>
  </si>
  <si>
    <t>WRA</t>
  </si>
  <si>
    <t xml:space="preserve">Ministry of Health, Ministry of economic planning, Ministry of gender
</t>
  </si>
  <si>
    <t>Technical and financial support from UNICEF ,GIZ , WHO, WFP water AID, USAID, DIFD. CSOs  for community mobilization. Academia for research and capacity building.</t>
  </si>
  <si>
    <t>Curriculum review to include adolescent nutrition
(Adolescent Nutrition Strategy, 2020</t>
  </si>
  <si>
    <t xml:space="preserve">Review curriculum and train pre and in-service teachers on life skills education and adolescent nutrition. 
Monitor delivery of revised curriculum </t>
  </si>
  <si>
    <t xml:space="preserve">Schools and extra-curricular </t>
  </si>
  <si>
    <t>Adolescent girls and boys</t>
  </si>
  <si>
    <t>Ministry of Education, Ministry of Health (DHNA)</t>
  </si>
  <si>
    <t>Financial support for review of curriculum  (Donors); Technical support for review of curriculum  (Donors and Academics) Dissemination of counseling tools (NGOs and UN),</t>
  </si>
  <si>
    <t>Food</t>
  </si>
  <si>
    <t>Optimal nutrition for pregnant and lactating women
(National Multi-Sector Nutrition
Strategic Plan 2018–2022)</t>
  </si>
  <si>
    <t xml:space="preserve">Awareness campaigns on the importance of consuming a diversified diet </t>
  </si>
  <si>
    <t>Women of child bearing age (15-49 years), breastfeeding and lactating women</t>
  </si>
  <si>
    <t>Ministry of health, ministry of education, Ministry of gender, Ministry of Local Government, Ministry of Agriculture</t>
  </si>
  <si>
    <t>Financial and technical support (UNICEF, FAO, WFP, NGOs, CSO, Academia)</t>
  </si>
  <si>
    <t>Prevention and control of micronutrient deficiencies
(National Multi-Sector Nutrition
Strategic Plan 2018–2022)</t>
  </si>
  <si>
    <t xml:space="preserve">Strengthen food value chains that aim to increase the accessibility and affordability of sustainable healthy diets for women of reproductive age (minimum diet diversity with an emphasis on animal source foods, pulses, fruits and vegetables and fortified foods as needed)
</t>
  </si>
  <si>
    <t>Households, Care groups, nutrition demonstration plots, adolescent nutrition demonstration plots, health facilities</t>
  </si>
  <si>
    <t>Women of child bearing age (15-49 years), breastfeeding, lactating women, adolescent girls, men</t>
  </si>
  <si>
    <t>Ministry of Agriculture, Ministry of health, ministry of education, Ministry of gender, Ministry of Local Government, Ministry of trade, Mnistry of Industry, Malawi Bureau of Standards</t>
  </si>
  <si>
    <t>Financial and technical support (FAO, UNICEF, WFP, NGOs, CSO, Academia, CGIAR)</t>
  </si>
  <si>
    <t xml:space="preserve">Social protection </t>
  </si>
  <si>
    <t xml:space="preserve">Align nutrition and social protection policies, strategies and programmes to leverage social protection systems to more effectively contribute to nutrition results for vulnerable adolescent girls and women
MNSSP-II
National Multi-Sector Nutrition
Strategic Plan 2018–2022)
</t>
  </si>
  <si>
    <t xml:space="preserve">Advocate for policy change to expand social protection to deliberately include pregant and breastfeeding women 
Support development and implementation of nutrition sensitive social protection framework, and operation guidelines </t>
  </si>
  <si>
    <t>Communities, health facilities, social protection structures</t>
  </si>
  <si>
    <t xml:space="preserve">Vulnerable adolescent girls and women (pregnant and breastfeeding) </t>
  </si>
  <si>
    <t xml:space="preserve">Ministry of Health, DNHA,  Ministry of economic planning, Ministry of gender
develop and approve the national policy framework and oparational guidelines, ensure implementation, financial </t>
  </si>
  <si>
    <t>Technical and financial support from UNICEF ,GIZ , WHO, WFP , USAID, FCDO, EU. CSOs  for community mobilization. Academia for research and capacity building.</t>
  </si>
  <si>
    <t>School Meals Programme
MNSSP-II
National Multi-Sector Nutrition
Strategic Plan 2018–2022)</t>
  </si>
  <si>
    <t>Scale up of school meals programme in primary and secondary schools for better retention and increased enrolment of students. Messaging around nutrition and  reproductive health included and linkages to life skills development and ensure inclusion of the refugee, migrant and internally displaced population</t>
  </si>
  <si>
    <t>communities, schools, health facilities</t>
  </si>
  <si>
    <t xml:space="preserve">Adolescents </t>
  </si>
  <si>
    <t xml:space="preserve">Ministryy of Education, Agriculture, Health, Ministry of Finance and Economic Planning , Ministry of Gender </t>
  </si>
  <si>
    <t>Technical and financial support from UNICEF ,GIZ , WFP , FAO,  UNAIDS, USAID, EU, Norway . CSOs  for community mobilization. Academia for research and capacity building.</t>
  </si>
  <si>
    <t>OUTCOME 2. IMPROVED CHILD HEALTH BY IMPROVING ACCESS TO PRIMARY HEALTH CARE, WATER, SANITATION AND HYGIENE SERVICES AND ENHANCED FOOD SAFETY</t>
  </si>
  <si>
    <t>Global Target (2030)</t>
  </si>
  <si>
    <t>By 2030, achieve universal health coverage, including access to quality essential health-care services for all</t>
  </si>
  <si>
    <t xml:space="preserve">By 2025, achieve the Essential health package coverage to 80% </t>
  </si>
  <si>
    <t xml:space="preserve">The EHP coverage in 2017 was 73.3% </t>
  </si>
  <si>
    <t>OUTCOME 2:  OPERATIONAL FRAMEWORK</t>
  </si>
  <si>
    <t>Health</t>
  </si>
  <si>
    <t>Health Sector Strategic Plan II (HSSP II) 2017-2022</t>
  </si>
  <si>
    <t>Improve access and utilization of vaccines to prevent vaccine preventable diseases</t>
  </si>
  <si>
    <t>Underfive clinics at static and mobile clinic and campaigns</t>
  </si>
  <si>
    <t>Children u/1yr  for all vaccines and children u/5 for malaria vaccine</t>
  </si>
  <si>
    <t xml:space="preserve">District Councils, Ministry of Health (Expanded Program for Immunization Unit, Preventive Directorate, Pharmacy and Medicines Regulatory Authority) </t>
  </si>
  <si>
    <t>Procurement vaccines and maintainance of cold chain across districts UNICEF, WHO, GAVI
Donors: Bill and Melinda Gates 
Implementation services by Christian Health Association of Malawi, Moslem Health Association of Malawi</t>
  </si>
  <si>
    <t>Increase access and coverage of essential interventions to prevent and treat common childhood illnesses (malaria, diarrhoea, pneumonia and malnutrition)</t>
  </si>
  <si>
    <t>PHC, static and mobile</t>
  </si>
  <si>
    <t xml:space="preserve">children U/5 yrs </t>
  </si>
  <si>
    <t>Clinical Directorate (Acute Respiratory Tract Infection Program), Preventive Directorate</t>
  </si>
  <si>
    <t>WHO, USAID, Unicef, UNHCR</t>
  </si>
  <si>
    <t xml:space="preserve">Health Sector Strategic Plan II (HSSP II) 2017-2022
</t>
  </si>
  <si>
    <t>Conduct growth Monitoring and follow up on LBW</t>
  </si>
  <si>
    <t xml:space="preserve">Static and mobile U/ 5 services </t>
  </si>
  <si>
    <t>Children U/5 yrs</t>
  </si>
  <si>
    <t>Preventive Directorate, MoGCDSW</t>
  </si>
  <si>
    <t xml:space="preserve">UNICEF, WHO, </t>
  </si>
  <si>
    <t xml:space="preserve">
1. Malawi National Strategic Plan for HIV and AIDS 2020 – 2025
2. National Multi-Sector Nutrition Strategic Plan 2018 - 2022
3. National National Nutrition Strategic Plan 2018 - 2022
4. National Community Health Strategy
2017 - 2022
</t>
  </si>
  <si>
    <t>Strengthen nutrition screening in existing HIV and TB platforms</t>
  </si>
  <si>
    <t>PHC and Hospitals, HIV teen clubs</t>
  </si>
  <si>
    <t xml:space="preserve">Adolescents, children 0-10 years, pregnant and breastfeeding women </t>
  </si>
  <si>
    <t>HIV Directorate, Clinical services directorate, NAC, DNHA, Reproductive Health, TB Control Program</t>
  </si>
  <si>
    <t>CDC PEPFAR, UNAIDS, GFATM, WHO, FBOs, CHAM, MHA, MANASO, MANARELA, MSH, ONSE, Baylor, PIHope, PIHealth</t>
  </si>
  <si>
    <t>National Agriculture Investment Plan 2018-2023</t>
  </si>
  <si>
    <t>Reduce contamination of crops in farms, enhance food safety in markets and improve food storage and food handling at household level (food hygiene), with a focus on complementary and supplementary foods for young children</t>
  </si>
  <si>
    <t>Agriculture extension services</t>
  </si>
  <si>
    <t>Farmers/house holds</t>
  </si>
  <si>
    <t>Ministry of Agriculture, Ministry of Health, Ministry of local gooverment, Ministry Trade, Ministry of Inducstry, MBS</t>
  </si>
  <si>
    <t>FAO, WFP, ICRISAT, Concern World Wide</t>
  </si>
  <si>
    <t>WASH</t>
  </si>
  <si>
    <t xml:space="preserve">Water Policy 2007
</t>
  </si>
  <si>
    <t xml:space="preserve">Promotion of personal hygiene (Hand washing with soap) and environmental Sanitation (latrine refuse drop hole covers, solid waste management </t>
  </si>
  <si>
    <t>Primary Health Care</t>
  </si>
  <si>
    <t>Total population including refugees, migrants and internally displaced population</t>
  </si>
  <si>
    <t>Preventive Directorate, Local Government, Ministry of Education (Directorate of School Health and Nutrition), Min of Water (Water Supply and Sanitation Services)</t>
  </si>
  <si>
    <t>UNICEF, WaterAID, World Vision, Save The Children, UNHCR, Water for People, CPAR, Pump AID, United Purpose, Red Cross</t>
  </si>
  <si>
    <t>Increase acces to clean and safe water</t>
  </si>
  <si>
    <t>Households including refugees, migrants and internally displaced population</t>
  </si>
  <si>
    <t>Preventive Directorate, Min of Water (Water Supply and Sanitation Services), Min of Local governement, WASAMA</t>
  </si>
  <si>
    <t>OUTCOME 3. IMPROVED INFANT AND YOUNG CHILD FEEDING BY IMPROVING BREASTFEEDING PRACTICES AND CHILDREN’S DIETS IN THE FIRST YEARS OF LIFE</t>
  </si>
  <si>
    <t>By 2030, the rate of exclusive breastfeeding in the first 6 months will increase up to at least 75% and at least 40% of children between 6-23 months consume a minimum diet diversity with an emphasis on animal source foods, pulses, fruits and vegetables</t>
  </si>
  <si>
    <t>By 2025, the rate of exclusive breastfeeding in the first 6 months will increase up to at least 75% and at least 40% of children between 6-23 months consume a minimum diet diversity with an emphasis on animal source foods, pulses, fruits and vegetables</t>
  </si>
  <si>
    <t>OUTCOME 3:  OPERATIONAL FRAMEWORK</t>
  </si>
  <si>
    <t>Scale up Baby friendly hospitals initiatives -BFHI (IYCF Strategy, Nutrition Multi sector Policy and strategy)</t>
  </si>
  <si>
    <t>Scale up of BFHI in facilities and and strengthen continued breastfeeding support to communities  through intergration of the 10 steps for improved  quality of care for mothers and new borns</t>
  </si>
  <si>
    <t xml:space="preserve">District hospitals, Health facilities and community level </t>
  </si>
  <si>
    <t>Pregnant women  and lactating mothers, infants 0 to 24 months</t>
  </si>
  <si>
    <t>Ministry of Health (National and District Hospitals) - Responsible for capacity building of their staff, coaching of pregnant and lactating mothers and monitoring of the BFHI status
 Ministry of Local Government (Local Councils)- provide oversight over ongoing compliance with BFHI initiatives</t>
  </si>
  <si>
    <t>CHAM Facilities and Private Hospitals- Responsible for capacity building of their staff, coaching of pregnant and lactating mothers and monitoring of the BFHI status
UNICEF, WFP, NGOs</t>
  </si>
  <si>
    <t>Scale up of SBCC interventions at all levels
(SUN-NECS 2.0, IYCF Strategy, Nutrition Multi sector Policy and strategy</t>
  </si>
  <si>
    <t>Provision of skilled counselling to frontline workers and community volunteers</t>
  </si>
  <si>
    <t>District and Community level</t>
  </si>
  <si>
    <t>Frontline workers, community volunteers, care givers</t>
  </si>
  <si>
    <t>Ministry of Health (DHNA and District Councils)- responsible for capacity building of national and district staff in nutrition counselling, coaching and mentoring and coaching of community volunteers and frontline workers.</t>
  </si>
  <si>
    <t>Financial and technical support</t>
  </si>
  <si>
    <t xml:space="preserve">Scale up of SBCC interventions to promote key family integrated practices including optimal  breastfeeding practices and childrens diets with a focus on age appropriate complementary feeding plus WASH, Health and ECD interventions </t>
  </si>
  <si>
    <t>Community structures, service provision facilities and media platforms</t>
  </si>
  <si>
    <t>Pregnant and lactating mothers, infants 0 to 24 monthsand caregivers</t>
  </si>
  <si>
    <t>Protection of Breast feeding (Multisectoral nutrition policy)</t>
  </si>
  <si>
    <t xml:space="preserve">Support the finalisation and implementation of the Code of marketing of breastmilk substitutes to  protect and support optimal breast feeding </t>
  </si>
  <si>
    <t>National and District level</t>
  </si>
  <si>
    <t>Nutrition and health leaders , technical officers at national level and other legal advisors including refugees, migrants and internally displaced population</t>
  </si>
  <si>
    <t>Ministry of health, District councils</t>
  </si>
  <si>
    <t>Increased production of priority value chains (National Agricultural Investment Plan (2018-2023),TheNational Agricultural Policy (2016-2020), National Multi-Sector Nutrition Policy (2017–2021) and Agriculture Sector Food and Nutrition Strategy (2019–2023)</t>
  </si>
  <si>
    <t>promote production and utilisation of diversified  high nutritive and safe, age appopriate, culturally acceptable and affordable foods along the value chains (including biofortified varieties)</t>
  </si>
  <si>
    <t>Farmer Field Schools, Care Groups, Farmer groups</t>
  </si>
  <si>
    <t>Farm households</t>
  </si>
  <si>
    <t>Ministry of Agriculture (National, District and Front line levels) - capacity building, demonstrating,facilitating availability of starter packs,and monitroring implementation</t>
  </si>
  <si>
    <t>FAO- provision technical expertise and financial support
INGOs and NGOs</t>
  </si>
  <si>
    <t>Enhance evidence based programming through nutrition research 
(National Multi-Sector Nutrition Policy, 2018–2022) </t>
  </si>
  <si>
    <t>Strengthen the utilisation of the Malawi Food composition tables, the Costs and Affordability of nutritivive foods analysis.</t>
  </si>
  <si>
    <t>National, subnational and community M&amp;E platforms</t>
  </si>
  <si>
    <t xml:space="preserve">Decision makers in nutrition programming </t>
  </si>
  <si>
    <t xml:space="preserve">Ministry of Agriculture and Ministry of Health, Ministry </t>
  </si>
  <si>
    <t>FAO, UNICEF,WFP, IFPRI, Academia, Civil Society, NGOs and INGOs</t>
  </si>
  <si>
    <t>Increased productivity and production of priority value chains (National Agricultural Investment Plan (2018-2023),TheNational Agricultural Policy (2016-2020), National Multi-Sector Nutrition Policy (2017–2021) and Agriculture Sector Food and Nutrition Strategy (2019–2023)</t>
  </si>
  <si>
    <t>Capacity building of mutli sectoral programme implementers and beneficiary groups on all levels on nutrition sensitive agriculture</t>
  </si>
  <si>
    <t>Household</t>
  </si>
  <si>
    <t>Social Protection</t>
  </si>
  <si>
    <t>Improve access to age-appropriate nutritious, affordable and sustainable foods through social protection transfers (cash or in kind) targeting at risk children and women</t>
  </si>
  <si>
    <t>Support development and implementation of nutrition sensitive social protection national framework, and its operational guidelines to improve access to age-appropriate nutritious and affordable foods among children 6-24 months and pregnant women.</t>
  </si>
  <si>
    <t>Government of Malawi with technical support</t>
  </si>
  <si>
    <t>Children 6-24 months, Children under 5, adolescent girls, women in reproductive age</t>
  </si>
  <si>
    <t>Ministry of Gender, Community Development and Social Welfare, Ministry of Local Government (District Councils), Ministry of health, Ministry of Economic Planning &amp; Development</t>
  </si>
  <si>
    <t>UNICEF &amp; GIZ - technical support, DFID - limited financial support</t>
  </si>
  <si>
    <t>OUTCOME 4. IMPROVED TREATMENT OF CHILDREN WITH WASTING BY STRENGTHENING HEALTH SYSTEMS AND INTEGRATING TREATMENT INTO ROUTINE PRIMARY HEALTH SERVICES</t>
  </si>
  <si>
    <t>By 2025, we will increase by 50% the coverage of  treatment services for children with wasting</t>
  </si>
  <si>
    <t xml:space="preserve">By 2025, we will increase treatment coverage to 75% </t>
  </si>
  <si>
    <t xml:space="preserve">National Coverage: Management of SAM - Inpatient - baseline 2020 </t>
  </si>
  <si>
    <t>SAM Inpatient  coverage 96%</t>
  </si>
  <si>
    <t>National Coverage: Management of SAM - Outpatient - baseline 2020</t>
  </si>
  <si>
    <t>SAM Outpatient Coverage 65%</t>
  </si>
  <si>
    <t>National Coverage: Management of MAM - baseline 2020</t>
  </si>
  <si>
    <t>MAM Coverage 20.7%</t>
  </si>
  <si>
    <t>OUTCOME 4:  OPERATIONAL FRAMEWORK</t>
  </si>
  <si>
    <t xml:space="preserve">Strengthen early identification and referral of children with wasting.
National Multisector Nutrition Policy (MNMSP), National Health Policy, Malawi Development and Growth Strategy (MGDS3), National Health Strategic Plan, </t>
  </si>
  <si>
    <t>Roll out Family MUAC,  integration into care group, growth monitoring</t>
  </si>
  <si>
    <t>Households, Village clinics, growth monitoring, health post</t>
  </si>
  <si>
    <t>Mothers and caregivers of Children U5 including those who are refugees, migrants and internally displaced population</t>
  </si>
  <si>
    <t>MoH-(Nutrition Unit, Department of Nutrition HIV/AIDS (DNHA)), District Nutrition Coordination Committee (DNCCC), Nutrition Coordination Committee (NCC), VVNCC 
Availability of policies, guidelines, human resource, financing, implementation</t>
  </si>
  <si>
    <t xml:space="preserve">UNICEF, WFP, FAO, Academia, World Relief, Hunger Project, Goal Malawi, World Vision, United Purpose 
Financing, technical support, procurement, evidence generation, implementation, capacity strengthening, monitoring and reporting
</t>
  </si>
  <si>
    <t xml:space="preserve">
Capacity building of health workers to streamlining early detection and referral, monitoring and reporting at every contact point including growth monitoring points, OPD, emergency and all entry points</t>
  </si>
  <si>
    <t>Growth monitoring point; OPD, Emergency, Admission wards</t>
  </si>
  <si>
    <t>Underfive children, Pregnant women including refugees, migrants and internally displaced population</t>
  </si>
  <si>
    <t>MOH-Clinical and Community Health, DNHA, CMED, Quality directorate
Human resource, Technical support, Implementation, Financing</t>
  </si>
  <si>
    <t>UNICEF, WFP, FAO, Academia, World Relief, Hunger Project, Goal Malawi, World Vision, United Purpose
 Financing, technical support, procurement, evidence generation, implementation, capacity strengthening, monitoring and reporting</t>
  </si>
  <si>
    <t xml:space="preserve">Increase the capacity of community health workers to identify and, whenever possible, treat children with uncomplicated wasting and monitor their nutritional rehabilitation in the home - MDGS3, MNMSP, National Health Policy; Community Health Strategy, </t>
  </si>
  <si>
    <t>Integrate the treatment of wasting in iCCM for hard to reach areas</t>
  </si>
  <si>
    <t>Village clinic; Health post</t>
  </si>
  <si>
    <t xml:space="preserve">Underfive children and Health workers (HSAs, Community nutrition workers; community nurses); </t>
  </si>
  <si>
    <t>MoH-Nutrition Unit, DNHA, IMCI, DNCC and DHMT
Availability of policies, guidelines, human resource, financing, implementation</t>
  </si>
  <si>
    <t xml:space="preserve">UNICEF, WFP, FAO, Academia, World Relief, Hunger Project, Goal Malawi, World Vision, United Purpose                                                           Financing, technical support, procurement, evidence generation, implementation, capacity strengthening, monitoring and reporting
</t>
  </si>
  <si>
    <t xml:space="preserve">Adopt programmatic solutions that will improve the cost-effectiveness and coverage of treatment of child wasting- Community Health Strategy, National Multisector Nutrition Policy, National Health Policy, Malawi Development and Growth Strategy (MGDS3), National Health Strategic Plan, </t>
  </si>
  <si>
    <t>Pilot the simplified protocols, review of the current CMAM guildelines, and build capacities of health workers in treatment of Child wasting</t>
  </si>
  <si>
    <t>Health facility; Community</t>
  </si>
  <si>
    <t xml:space="preserve">Underfive children; </t>
  </si>
  <si>
    <t xml:space="preserve">Streamline supply chain systems for the delivery of key commodities for the treatment of child wasting
National Multisector Nutrition Policy, National Health Policy, National Health Strategic Plan, </t>
  </si>
  <si>
    <t xml:space="preserve">Ensure timely &amp; quality management of SAM cases through Capacity strengthening including the supply chain management system 
</t>
  </si>
  <si>
    <t>Pharmacists and Health workers</t>
  </si>
  <si>
    <t xml:space="preserve">CMST, Pharmacy department, MOH-DNHA, </t>
  </si>
  <si>
    <t xml:space="preserve">Financing, technical support, procurement, implementation, capacity strengthening, monitoring and reporting
</t>
  </si>
  <si>
    <t xml:space="preserve">Streamline supply chain systems for the delivery of key commodities for the treatment of child moderate wasting Multisector Nutrition Policy  
National Agricultural Investment Plan (2018-2023) 
                         </t>
  </si>
  <si>
    <t xml:space="preserve">Pilot procurement and distribution of locally fortified MAM treatment commoditiies 
</t>
  </si>
  <si>
    <t>National, District, Sun Bussiness Network</t>
  </si>
  <si>
    <t>Underfifteen, pregnant and lactating women</t>
  </si>
  <si>
    <t xml:space="preserve">MOA, MOH-DNHA, Ministry of Trade, DNCC, DHMT     Implementation, Development of the standards, Monitoring of the Standards </t>
  </si>
  <si>
    <t>FAO, WFP,UNICEF, Rab Processors
Financing, Logistics,</t>
  </si>
  <si>
    <t>Support efforts to prevent and reduce aflatoxin and other toxins in therapeutic foods 
National Multisector and  Nutrition Policy, The Food and Nutrition Bill and the Regulations 
National Agricultural Investment Plan (2018-2023)</t>
  </si>
  <si>
    <t xml:space="preserve">Capacity strengthening in production (suitable varities in relation to weather) and post harvest handling (proper drying, storage/moisture content) of farm produce
</t>
  </si>
  <si>
    <t xml:space="preserve">Community, Manufactuting Plants/Companies </t>
  </si>
  <si>
    <t>Farmers and local producers</t>
  </si>
  <si>
    <t xml:space="preserve">MOA, MOH-DNHA, Ministry of Trade, DNCC, DHMT, Malawi Bureau of Standards (MBS), Academia                                    Implementation, Development of the standards, Monitoring of the Standards </t>
  </si>
  <si>
    <t>FAO, WFP, UNICEF 
Technical support, Financial</t>
  </si>
  <si>
    <t>Ensure the safety and quality standards of locally produced specialized nutritious food required for the treatment of child wasting, through improved collaboration with the private sector 
Multisector Nutrition Policy (2018-2022), Agriculture Nutirtion Strategy (2020-2024) Nutrition Bill
National Agricultural Investment Plan (2018-2023)</t>
  </si>
  <si>
    <t xml:space="preserve">Inspection of production industries for implementation of quality standards; 
Development of safey and quality standards  
Build capacity of local producers for implementation </t>
  </si>
  <si>
    <t>Producers</t>
  </si>
  <si>
    <t>Ministry of Trade, MBS, Pharmacy                               Development of standards, implementation monitoring, reporting</t>
  </si>
  <si>
    <t>Advocate for local reource mobilization
(Local resource mobilization startegy for nutrition)</t>
  </si>
  <si>
    <t xml:space="preserve">Advocate and influence increased budgetary allowaction for nutrition interventions (e.g. financing for procurement and supply chain strengthening of nutrition commodities) </t>
  </si>
  <si>
    <t>National level and district councils</t>
  </si>
  <si>
    <t>Government, parliament, district councils</t>
  </si>
  <si>
    <t>MoH, DNHA, Parliament, Ministry of Finance, District councils</t>
  </si>
  <si>
    <t>UNICEF, WFP, FAO</t>
  </si>
  <si>
    <t>Advocate and support government shock responsive social protection in areas with food insecurity giving a safety net transfer to families with at-risk children and Pregnant and Lactating Women 
Malawi National Social Support Policy (2012), Malawi National Social Support Programme (2018-2023)</t>
  </si>
  <si>
    <t xml:space="preserve">Advocate for and support development and implementation of nutrition sensitive social protection national framework, and its operational guideline (provide cash and nutrition education to families with at risk children and pregnant/lactating women)
</t>
  </si>
  <si>
    <t xml:space="preserve">National, Community, Community Social Support Committee, District Social Support Committee </t>
  </si>
  <si>
    <t xml:space="preserve">Children under two, Pregnant and Lactating Women </t>
  </si>
  <si>
    <t xml:space="preserve">DNCC, DODMA, MOH, MOGSWS, District Civil Protection Committees, District Nutrition Coordination Commettees
 Approval Finalization and Approve, Nutrition Sensitive Social Protection Guidelines, Implementation, Monitoring </t>
  </si>
  <si>
    <t xml:space="preserve">UNICEF, WFP, GIZ, FAO, United Purpose  
Technical support, Financial, Implementation </t>
  </si>
  <si>
    <t>MALAWI</t>
  </si>
  <si>
    <r>
      <t xml:space="preserve">Current National % of Low-Birth-Weight newborns 
</t>
    </r>
    <r>
      <rPr>
        <i/>
        <sz val="12"/>
        <color theme="0"/>
        <rFont val="Calibri"/>
        <family val="2"/>
        <scheme val="minor"/>
      </rPr>
      <t>(2020 data)</t>
    </r>
  </si>
  <si>
    <r>
      <t xml:space="preserve">Current National Universal Health Coverage Index 
</t>
    </r>
    <r>
      <rPr>
        <i/>
        <sz val="12"/>
        <color theme="0"/>
        <rFont val="Calibri"/>
        <family val="2"/>
        <scheme val="minor"/>
      </rPr>
      <t>(2020 or most recent data)</t>
    </r>
  </si>
  <si>
    <r>
      <t xml:space="preserve">National % Exclusive breastfeeding under 6 months 
</t>
    </r>
    <r>
      <rPr>
        <i/>
        <sz val="12"/>
        <color theme="0"/>
        <rFont val="Calibri"/>
        <family val="2"/>
        <scheme val="minor"/>
      </rPr>
      <t>(2020 or most recent data)</t>
    </r>
  </si>
  <si>
    <t>UNICEF, WFP, FAO, Academia, World Relief, Hunger Project, Goal Malawi, World Vision, United Purpose                                                           
Financing, technical support, procurement, evidence generation, implementation, capacity strengthening, monitoring and reporting</t>
  </si>
  <si>
    <t xml:space="preserve">FAO, UNICEF, WFP, Rab Processors, Valid Nutrition
Technical support, Financial, monitoring </t>
  </si>
  <si>
    <t>The GAP Operational Roadmap</t>
  </si>
  <si>
    <t>Budget and Population Targets</t>
  </si>
  <si>
    <t>COUNTRY:  MALAWI</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</si>
  <si>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</si>
  <si>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</si>
  <si>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</si>
  <si>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t>All population</t>
  </si>
  <si>
    <t>Households</t>
  </si>
  <si>
    <t>Government officials, Health Workers, Service providers</t>
  </si>
  <si>
    <t>Total target Population</t>
  </si>
  <si>
    <r>
      <t xml:space="preserve">UNIT COST
</t>
    </r>
    <r>
      <rPr>
        <sz val="8"/>
        <color theme="0"/>
        <rFont val="Calibri (Body)"/>
      </rPr>
      <t>(per year)</t>
    </r>
  </si>
  <si>
    <r>
      <t xml:space="preserve">TOTAL
</t>
    </r>
    <r>
      <rPr>
        <sz val="12"/>
        <color theme="0"/>
        <rFont val="Calibri"/>
        <family val="2"/>
        <scheme val="minor"/>
      </rPr>
      <t>(Target Population x Unit Cost)</t>
    </r>
  </si>
  <si>
    <t>U2</t>
  </si>
  <si>
    <t>U5</t>
  </si>
  <si>
    <t>PLW</t>
  </si>
  <si>
    <t>Adolescent girls (10-19 years)</t>
  </si>
  <si>
    <t>Woment in reproductive age</t>
  </si>
  <si>
    <t>Outcome 1:  Reduced incidence of Low Birth Weight</t>
  </si>
  <si>
    <t>Promote behavioral change intervention (including counselling) on nutrition targeting adolescent girls and women</t>
  </si>
  <si>
    <t xml:space="preserve">Review curriculum and train pre and in-service teachers on life skills education and adolescent nutrition. </t>
  </si>
  <si>
    <t>Strengthen food value chains that aim to increase the accessibility and affordability of sustainable healthy diets for women of reproductive age (minimum diet diversity with an emphasis on animal source foods, pulses, fruits and vegetables and fortified foods as needed)</t>
  </si>
  <si>
    <t xml:space="preserve">Scale up of school meals programme in primary and secondary schools for better retention and increased enrolment of students. Messaging around nutrition and  reproductive health included and linkages to life skills development </t>
  </si>
  <si>
    <t>Subtotal:</t>
  </si>
  <si>
    <t>Outcome 2:  Improved Child Health</t>
  </si>
  <si>
    <t>Outcome 3:  Improved Infant and Young Child Feeding</t>
  </si>
  <si>
    <t>Promote production and utilisation of diversified  high nutritive and safe, age appopriate, culturally acceptable and affordable foods along the value chains (including biofortified varieties)</t>
  </si>
  <si>
    <t>Outcome 4:  Improved treatment of children with wasting</t>
  </si>
  <si>
    <t>Capacity building of health workers to streamline early detection and referral, monitoring and reporting at every contact point including growth monitoring points, OPD, emergency and all entry points</t>
  </si>
  <si>
    <t>Integrate the treatment of wasting in iCCM for hard to reach areas;</t>
  </si>
  <si>
    <t xml:space="preserve">Ensure timely &amp; quality management of SAM cases through Capacity strengthening including the supply chain management system </t>
  </si>
  <si>
    <t xml:space="preserve">Pilot procurement and distribution of locally fortified MAM treatment commoditiies </t>
  </si>
  <si>
    <t>Capacity strengthening in production (suitable varities in relation to weather) and post harvest handling (proper drying, storage/moisture content) of farm produce</t>
  </si>
  <si>
    <t xml:space="preserve">Inspection of production industries for implementation of quality standards; Development of safey and quality standards  
Build capacity of local producers for implementation </t>
  </si>
  <si>
    <t xml:space="preserve">Advocate and influence increased budgetary allocation for nutrition interventions (e.g. financing for procurement and supply chain strengthening of nutrition commodities) </t>
  </si>
  <si>
    <t>Advocate for and support development and implementation of nutrition sensitive social protection national framework, and its operational guideline (provide cash and nutrition education to families with at risk children and pregnant/lactating women)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</si>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</sst>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7">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28"/>
      <color theme="1"/>
      <name val="Helvetica Bold"/>
    </font>
    <font>
      <b/>
      <sz val="20"/>
      <color theme="1"/>
      <name val="Helvetica"/>
      <family val="2"/>
    </font>
    <font>
      <b/>
      <sz val="16"/>
      <color theme="1"/>
      <name val="Helvetica Bold"/>
    </font>
    <font>
      <sz val="12"/>
      <color theme="1"/>
      <name val="Times New Roman"/>
      <family val="1"/>
    </font>
    <font>
      <sz val="11"/>
      <color theme="1"/>
      <name val="Calibri"/>
      <family val="2"/>
      <scheme val="minor"/>
    </font>
    <font>
      <b/>
      <sz val="16"/>
      <color rgb="FF000000"/>
      <name val="Helvetica Bold"/>
    </font>
    <font>
      <sz val="12"/>
      <color theme="1"/>
      <name val="Helvetica Light"/>
    </font>
    <font>
      <i/>
      <sz val="12"/>
      <color rgb="FFAEAAAA"/>
      <name val="Helvetica Light Oblique"/>
    </font>
    <font>
      <sz val="12"/>
      <name val="Calibri"/>
      <family val="2"/>
      <scheme val="minor"/>
    </font>
    <font>
      <i/>
      <sz val="12"/>
      <color rgb="FFAEAAAA"/>
      <name val="Times New Roman"/>
      <family val="1"/>
    </font>
    <font>
      <b/>
      <sz val="16"/>
      <name val="Helvetica Bold"/>
    </font>
    <font>
      <i/>
      <sz val="12"/>
      <name val="Calibri"/>
      <family val="2"/>
      <scheme val="minor"/>
    </font>
    <font>
      <i/>
      <sz val="12"/>
      <color theme="0"/>
      <name val="Calibri"/>
      <family val="2"/>
      <scheme val="minor"/>
    </font>
    <font>
      <b/>
      <sz val="18"/>
      <color theme="1"/>
      <name val="Calibri"/>
      <family val="2"/>
      <scheme val="minor"/>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Body)"/>
    </font>
    <font>
      <sz val="9"/>
      <color theme="0"/>
      <name val="Calibri (Body)"/>
    </font>
    <font>
      <b/>
      <sz val="9"/>
      <color theme="0"/>
      <name val="Calibri"/>
      <family val="2"/>
      <scheme val="minor"/>
    </font>
    <font>
      <sz val="8"/>
      <color theme="0"/>
      <name val="Calibri (Body)"/>
    </font>
    <font>
      <sz val="12"/>
      <color rgb="FF0070C0"/>
      <name val="Calibri"/>
      <family val="2"/>
      <scheme val="minor"/>
    </font>
  </fonts>
  <fills count="12">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rgb="FF00206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9">
    <xf numFmtId="0" fontId="0" fillId="0" borderId="0"/>
    <xf numFmtId="9"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cellStyleXfs>
  <cellXfs count="188">
    <xf numFmtId="0" fontId="0" fillId="0" borderId="0" xfId="0"/>
    <xf numFmtId="0" fontId="0" fillId="0" borderId="0" xfId="0" applyAlignment="1">
      <alignment wrapText="1"/>
    </xf>
    <xf numFmtId="0" fontId="7" fillId="0" borderId="0" xfId="0" applyFont="1" applyAlignment="1">
      <alignment vertical="center"/>
    </xf>
    <xf numFmtId="0" fontId="8" fillId="0" borderId="0" xfId="0" applyFont="1"/>
    <xf numFmtId="0" fontId="10" fillId="0" borderId="0" xfId="0" applyFont="1" applyAlignment="1">
      <alignment vertical="center"/>
    </xf>
    <xf numFmtId="0" fontId="11" fillId="0" borderId="0" xfId="7" applyFont="1" applyFill="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7" fillId="0" borderId="0" xfId="0" applyFont="1"/>
    <xf numFmtId="0" fontId="8" fillId="0" borderId="0" xfId="0" applyFont="1" applyAlignment="1">
      <alignment vertical="center" wrapText="1"/>
    </xf>
    <xf numFmtId="0" fontId="14" fillId="0" borderId="0" xfId="0" applyFont="1" applyAlignment="1">
      <alignment vertical="center" wrapText="1"/>
    </xf>
    <xf numFmtId="0" fontId="13" fillId="0" borderId="0" xfId="0" applyFont="1"/>
    <xf numFmtId="0" fontId="13" fillId="0" borderId="0" xfId="0" applyFont="1" applyAlignment="1">
      <alignment wrapText="1"/>
    </xf>
    <xf numFmtId="0" fontId="15" fillId="0" borderId="0" xfId="0" applyFont="1" applyAlignment="1">
      <alignment vertical="center"/>
    </xf>
    <xf numFmtId="0" fontId="11" fillId="0" borderId="0" xfId="3" applyFont="1" applyFill="1" applyBorder="1" applyAlignment="1">
      <alignment horizontal="center" wrapText="1"/>
    </xf>
    <xf numFmtId="0" fontId="0" fillId="0" borderId="0" xfId="0" applyAlignment="1">
      <alignment vertical="top"/>
    </xf>
    <xf numFmtId="0" fontId="1" fillId="0" borderId="5" xfId="0" applyFont="1" applyBorder="1"/>
    <xf numFmtId="9" fontId="1" fillId="0" borderId="5" xfId="1" applyFont="1" applyBorder="1" applyAlignment="1"/>
    <xf numFmtId="164" fontId="1" fillId="0" borderId="5" xfId="1" applyNumberFormat="1" applyFont="1" applyBorder="1" applyAlignment="1"/>
    <xf numFmtId="164" fontId="1" fillId="0" borderId="5" xfId="0" applyNumberFormat="1" applyFont="1" applyBorder="1"/>
    <xf numFmtId="164" fontId="1" fillId="0" borderId="12" xfId="1" applyNumberFormat="1" applyFont="1" applyBorder="1" applyAlignment="1">
      <alignment horizontal="center"/>
    </xf>
    <xf numFmtId="0" fontId="1" fillId="0" borderId="14" xfId="0" applyFont="1" applyBorder="1"/>
    <xf numFmtId="9" fontId="1" fillId="0" borderId="14" xfId="1" applyFont="1" applyBorder="1" applyAlignment="1"/>
    <xf numFmtId="164" fontId="1" fillId="0" borderId="14" xfId="1" applyNumberFormat="1" applyFont="1" applyBorder="1" applyAlignment="1"/>
    <xf numFmtId="164" fontId="1" fillId="0" borderId="14" xfId="0" applyNumberFormat="1" applyFont="1" applyBorder="1"/>
    <xf numFmtId="164" fontId="1" fillId="0" borderId="15" xfId="1" applyNumberFormat="1" applyFont="1" applyBorder="1" applyAlignment="1">
      <alignment horizontal="center"/>
    </xf>
    <xf numFmtId="0" fontId="1" fillId="0" borderId="5" xfId="0" applyFont="1" applyFill="1" applyBorder="1"/>
    <xf numFmtId="9" fontId="1" fillId="0" borderId="5" xfId="1" applyFont="1" applyFill="1" applyBorder="1" applyAlignment="1"/>
    <xf numFmtId="164" fontId="1" fillId="0" borderId="5" xfId="1" applyNumberFormat="1" applyFont="1" applyFill="1" applyBorder="1" applyAlignment="1"/>
    <xf numFmtId="164" fontId="1" fillId="0" borderId="5" xfId="0" applyNumberFormat="1" applyFont="1" applyFill="1" applyBorder="1"/>
    <xf numFmtId="164" fontId="1" fillId="0" borderId="5" xfId="1" applyNumberFormat="1" applyFont="1" applyFill="1" applyBorder="1" applyAlignment="1">
      <alignment horizontal="center"/>
    </xf>
    <xf numFmtId="0" fontId="3" fillId="0" borderId="0" xfId="0" applyFont="1" applyFill="1" applyAlignment="1">
      <alignment vertical="center"/>
    </xf>
    <xf numFmtId="0" fontId="0" fillId="0" borderId="0" xfId="0" applyFont="1" applyFill="1"/>
    <xf numFmtId="0" fontId="0" fillId="0" borderId="0" xfId="0" applyFont="1" applyFill="1" applyAlignment="1">
      <alignment wrapText="1"/>
    </xf>
    <xf numFmtId="0" fontId="1" fillId="3" borderId="5" xfId="3"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9" borderId="5" xfId="0" applyFont="1" applyFill="1" applyBorder="1" applyAlignment="1">
      <alignment vertical="center" wrapText="1"/>
    </xf>
    <xf numFmtId="0" fontId="13" fillId="0" borderId="5" xfId="0" applyFont="1" applyBorder="1" applyAlignment="1">
      <alignment horizontal="center" vertical="center" wrapText="1"/>
    </xf>
    <xf numFmtId="0" fontId="1" fillId="3" borderId="12" xfId="3" applyFont="1" applyBorder="1" applyAlignment="1">
      <alignment horizontal="center" vertical="center" wrapText="1"/>
    </xf>
    <xf numFmtId="0" fontId="1" fillId="0" borderId="12" xfId="0" applyFont="1" applyBorder="1" applyAlignment="1">
      <alignment vertical="center" wrapText="1"/>
    </xf>
    <xf numFmtId="0" fontId="1" fillId="0" borderId="12" xfId="0" applyFont="1" applyBorder="1" applyAlignment="1">
      <alignment horizontal="center" vertical="center" wrapText="1"/>
    </xf>
    <xf numFmtId="0" fontId="1" fillId="9" borderId="12"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 fillId="0" borderId="11" xfId="0" applyFont="1" applyBorder="1" applyAlignment="1">
      <alignment horizontal="center" vertical="center" wrapText="1"/>
    </xf>
    <xf numFmtId="0" fontId="13" fillId="8" borderId="5"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3" borderId="5" xfId="3" applyFont="1" applyBorder="1" applyAlignment="1">
      <alignment horizontal="center" vertical="center" wrapText="1"/>
    </xf>
    <xf numFmtId="0" fontId="13" fillId="0" borderId="5" xfId="0" applyFont="1" applyBorder="1" applyAlignment="1">
      <alignment vertical="center" wrapText="1"/>
    </xf>
    <xf numFmtId="0" fontId="13" fillId="3" borderId="12" xfId="3" applyFont="1" applyBorder="1" applyAlignment="1">
      <alignment horizontal="center" vertical="center" wrapText="1"/>
    </xf>
    <xf numFmtId="0" fontId="13" fillId="0" borderId="12" xfId="0" applyFont="1" applyBorder="1" applyAlignment="1">
      <alignment vertical="center" wrapText="1"/>
    </xf>
    <xf numFmtId="0" fontId="13" fillId="0" borderId="15" xfId="0" applyFont="1" applyBorder="1" applyAlignment="1">
      <alignment vertical="center" wrapText="1"/>
    </xf>
    <xf numFmtId="0" fontId="13" fillId="0" borderId="11" xfId="0" applyFont="1" applyBorder="1" applyAlignment="1">
      <alignment horizontal="center" vertical="center"/>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xf>
    <xf numFmtId="0" fontId="4" fillId="10" borderId="5" xfId="5"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4" borderId="1" xfId="4" applyFont="1" applyBorder="1" applyAlignment="1">
      <alignment horizontal="center" vertical="center"/>
    </xf>
    <xf numFmtId="0" fontId="13" fillId="4" borderId="11" xfId="4" applyFont="1" applyBorder="1" applyAlignment="1">
      <alignment horizontal="center" vertical="center"/>
    </xf>
    <xf numFmtId="0" fontId="13" fillId="4" borderId="2" xfId="4" applyFont="1" applyBorder="1" applyAlignment="1">
      <alignment horizontal="center" vertical="center"/>
    </xf>
    <xf numFmtId="0" fontId="13" fillId="4" borderId="5" xfId="4" applyFont="1" applyBorder="1" applyAlignment="1">
      <alignment horizontal="center" vertical="center"/>
    </xf>
    <xf numFmtId="0" fontId="13" fillId="4" borderId="2" xfId="4" applyFont="1" applyBorder="1" applyAlignment="1">
      <alignment horizontal="center" vertical="center" wrapText="1"/>
    </xf>
    <xf numFmtId="0" fontId="13" fillId="4" borderId="10" xfId="4" applyFont="1" applyBorder="1" applyAlignment="1">
      <alignment horizontal="center" vertical="center"/>
    </xf>
    <xf numFmtId="0" fontId="13" fillId="3" borderId="5" xfId="3" applyFont="1" applyBorder="1" applyAlignment="1">
      <alignment horizontal="center" vertical="center" wrapText="1"/>
    </xf>
    <xf numFmtId="0" fontId="4" fillId="10" borderId="5" xfId="2" applyFont="1" applyFill="1" applyBorder="1" applyAlignment="1">
      <alignment horizontal="left" vertical="center" wrapText="1"/>
    </xf>
    <xf numFmtId="0" fontId="4" fillId="2" borderId="5" xfId="2" applyFont="1" applyBorder="1" applyAlignment="1">
      <alignment horizontal="left" vertical="center" wrapText="1"/>
    </xf>
    <xf numFmtId="0" fontId="15" fillId="0" borderId="0" xfId="0" applyFont="1" applyAlignment="1">
      <alignment horizontal="left" wrapText="1"/>
    </xf>
    <xf numFmtId="0" fontId="4" fillId="10" borderId="5" xfId="7" applyFont="1" applyFill="1" applyBorder="1" applyAlignment="1">
      <alignment horizontal="left" vertical="center" wrapText="1"/>
    </xf>
    <xf numFmtId="9" fontId="16" fillId="0" borderId="5" xfId="1" applyFont="1" applyBorder="1" applyAlignment="1">
      <alignment horizontal="center" vertical="center" wrapText="1"/>
    </xf>
    <xf numFmtId="0" fontId="1" fillId="4" borderId="1" xfId="4" applyFont="1" applyBorder="1" applyAlignment="1">
      <alignment horizontal="center" vertical="center"/>
    </xf>
    <xf numFmtId="0" fontId="1" fillId="4" borderId="11" xfId="4" applyFont="1" applyBorder="1" applyAlignment="1">
      <alignment horizontal="center" vertical="center"/>
    </xf>
    <xf numFmtId="0" fontId="1" fillId="4" borderId="2" xfId="4" applyFont="1" applyBorder="1" applyAlignment="1">
      <alignment horizontal="center" vertical="center"/>
    </xf>
    <xf numFmtId="0" fontId="1" fillId="4" borderId="5" xfId="4" applyFont="1" applyBorder="1" applyAlignment="1">
      <alignment horizontal="center" vertical="center"/>
    </xf>
    <xf numFmtId="0" fontId="1" fillId="4" borderId="2" xfId="4" applyFont="1" applyBorder="1" applyAlignment="1">
      <alignment horizontal="center" vertical="center" wrapText="1"/>
    </xf>
    <xf numFmtId="0" fontId="1" fillId="4" borderId="10" xfId="4" applyFont="1" applyBorder="1" applyAlignment="1">
      <alignment horizontal="center" vertical="center"/>
    </xf>
    <xf numFmtId="0" fontId="1" fillId="3" borderId="5" xfId="3" applyFont="1" applyBorder="1" applyAlignment="1">
      <alignment horizontal="center" vertical="center" wrapText="1"/>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3" fillId="0" borderId="14" xfId="0" applyFont="1" applyBorder="1" applyAlignment="1">
      <alignment horizontal="left" vertical="center" wrapText="1"/>
    </xf>
    <xf numFmtId="0" fontId="4" fillId="2" borderId="5" xfId="2" applyFont="1" applyBorder="1" applyAlignment="1">
      <alignment horizontal="center" vertical="center" wrapText="1"/>
    </xf>
    <xf numFmtId="0" fontId="7" fillId="0" borderId="0" xfId="0" applyFont="1" applyAlignment="1">
      <alignment horizontal="left" wrapText="1"/>
    </xf>
    <xf numFmtId="0" fontId="1" fillId="0" borderId="5" xfId="0" applyFont="1" applyBorder="1" applyAlignment="1">
      <alignment horizontal="center" vertical="center" wrapText="1"/>
    </xf>
    <xf numFmtId="0" fontId="1" fillId="9" borderId="11" xfId="0" applyFont="1" applyFill="1" applyBorder="1" applyAlignment="1">
      <alignment horizontal="left" vertical="center"/>
    </xf>
    <xf numFmtId="0" fontId="1" fillId="9" borderId="5"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5" xfId="0" applyFont="1" applyBorder="1" applyAlignment="1">
      <alignment horizontal="center" vertical="center"/>
    </xf>
    <xf numFmtId="0" fontId="4" fillId="2" borderId="1" xfId="2" applyFont="1" applyBorder="1" applyAlignment="1">
      <alignment horizontal="left" vertical="center" wrapText="1"/>
    </xf>
    <xf numFmtId="0" fontId="4" fillId="2" borderId="10" xfId="2" applyFont="1" applyBorder="1" applyAlignment="1">
      <alignment horizontal="left" vertical="center" wrapText="1"/>
    </xf>
    <xf numFmtId="0" fontId="2" fillId="2" borderId="18" xfId="2" applyFont="1" applyBorder="1" applyAlignment="1">
      <alignment horizontal="center" vertical="center" wrapText="1"/>
    </xf>
    <xf numFmtId="0" fontId="2" fillId="2" borderId="19" xfId="2" applyFont="1" applyBorder="1" applyAlignment="1">
      <alignment horizontal="center" vertical="center" wrapText="1"/>
    </xf>
    <xf numFmtId="0" fontId="4" fillId="10" borderId="11" xfId="7" applyFont="1" applyFill="1" applyBorder="1" applyAlignment="1">
      <alignment horizontal="left" vertical="center" wrapText="1"/>
    </xf>
    <xf numFmtId="0" fontId="4" fillId="10" borderId="12" xfId="7" applyFont="1" applyFill="1" applyBorder="1" applyAlignment="1">
      <alignment horizontal="left" vertical="center" wrapText="1"/>
    </xf>
    <xf numFmtId="9" fontId="13" fillId="0" borderId="20" xfId="1" applyFont="1" applyBorder="1" applyAlignment="1">
      <alignment horizontal="center" vertical="center" wrapText="1"/>
    </xf>
    <xf numFmtId="9" fontId="13" fillId="0" borderId="21" xfId="1" applyFont="1" applyBorder="1" applyAlignment="1">
      <alignment horizontal="center" vertical="center" wrapText="1"/>
    </xf>
    <xf numFmtId="0" fontId="4" fillId="10" borderId="13" xfId="7" applyFont="1" applyFill="1" applyBorder="1" applyAlignment="1">
      <alignment horizontal="left" vertical="center" wrapText="1"/>
    </xf>
    <xf numFmtId="0" fontId="4" fillId="10" borderId="15" xfId="7" applyFont="1" applyFill="1" applyBorder="1" applyAlignment="1">
      <alignment horizontal="left" vertical="center" wrapText="1"/>
    </xf>
    <xf numFmtId="9" fontId="13" fillId="0" borderId="22" xfId="1" applyFont="1" applyBorder="1" applyAlignment="1">
      <alignment horizontal="center" vertical="center" wrapText="1"/>
    </xf>
    <xf numFmtId="9" fontId="13" fillId="0" borderId="23" xfId="1" applyFont="1" applyBorder="1" applyAlignment="1">
      <alignment horizontal="center" vertical="center" wrapText="1"/>
    </xf>
    <xf numFmtId="164" fontId="1" fillId="0" borderId="5" xfId="1" applyNumberFormat="1" applyFont="1" applyBorder="1" applyAlignment="1">
      <alignment horizontal="center"/>
    </xf>
    <xf numFmtId="164" fontId="1" fillId="0" borderId="14" xfId="1" applyNumberFormat="1" applyFont="1" applyBorder="1" applyAlignment="1">
      <alignment horizontal="center"/>
    </xf>
    <xf numFmtId="0" fontId="9" fillId="0" borderId="16" xfId="6" applyFont="1" applyFill="1" applyBorder="1" applyAlignment="1">
      <alignment horizontal="left" vertical="center" wrapText="1"/>
    </xf>
    <xf numFmtId="0" fontId="9" fillId="0" borderId="17" xfId="6" applyFont="1" applyFill="1" applyBorder="1" applyAlignment="1">
      <alignment horizontal="left" vertical="center" wrapText="1"/>
    </xf>
    <xf numFmtId="0" fontId="9" fillId="0" borderId="16" xfId="6" applyFont="1" applyFill="1" applyBorder="1" applyAlignment="1">
      <alignment horizontal="left" vertical="top" wrapText="1"/>
    </xf>
    <xf numFmtId="0" fontId="9" fillId="0" borderId="17" xfId="6" applyFont="1" applyFill="1" applyBorder="1" applyAlignment="1">
      <alignment horizontal="left" vertical="top" wrapText="1"/>
    </xf>
    <xf numFmtId="164" fontId="1" fillId="0" borderId="5" xfId="1" applyNumberFormat="1" applyFont="1" applyFill="1" applyBorder="1" applyAlignment="1">
      <alignment horizontal="center"/>
    </xf>
    <xf numFmtId="0" fontId="2" fillId="2" borderId="5" xfId="2" applyFont="1" applyBorder="1" applyAlignment="1">
      <alignment horizontal="center" wrapText="1"/>
    </xf>
    <xf numFmtId="0" fontId="2" fillId="2" borderId="12" xfId="2" applyFont="1" applyBorder="1" applyAlignment="1">
      <alignment horizontal="center" wrapText="1"/>
    </xf>
    <xf numFmtId="0" fontId="13" fillId="0" borderId="13" xfId="0" applyFont="1" applyBorder="1" applyAlignment="1">
      <alignment horizontal="center" vertical="center"/>
    </xf>
    <xf numFmtId="10" fontId="1" fillId="0" borderId="5" xfId="1" applyNumberFormat="1" applyFont="1" applyBorder="1" applyAlignment="1">
      <alignment horizontal="center"/>
    </xf>
    <xf numFmtId="0" fontId="4" fillId="2" borderId="1" xfId="2" applyFont="1" applyBorder="1" applyAlignment="1">
      <alignment horizontal="left" vertical="center"/>
    </xf>
    <xf numFmtId="0" fontId="4" fillId="2" borderId="11" xfId="2" applyFont="1" applyBorder="1" applyAlignment="1">
      <alignment horizontal="left" vertical="center"/>
    </xf>
    <xf numFmtId="0" fontId="4" fillId="2" borderId="2" xfId="2" applyFont="1" applyBorder="1" applyAlignment="1">
      <alignment horizontal="center" vertical="center" wrapText="1"/>
    </xf>
    <xf numFmtId="0" fontId="2" fillId="2" borderId="2" xfId="2" applyFont="1" applyBorder="1" applyAlignment="1">
      <alignment horizontal="center"/>
    </xf>
    <xf numFmtId="0" fontId="2" fillId="2" borderId="10" xfId="2"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4" fillId="2" borderId="2" xfId="2" applyFont="1" applyBorder="1" applyAlignment="1">
      <alignment horizontal="left" vertical="center" wrapText="1"/>
    </xf>
    <xf numFmtId="0" fontId="2" fillId="2" borderId="2" xfId="2" applyFont="1" applyBorder="1" applyAlignment="1">
      <alignment horizontal="left" vertical="center" wrapText="1"/>
    </xf>
    <xf numFmtId="0" fontId="4" fillId="2" borderId="3" xfId="2" applyFont="1" applyBorder="1" applyAlignment="1">
      <alignment horizontal="left" vertical="center" wrapText="1"/>
    </xf>
    <xf numFmtId="0" fontId="4" fillId="2" borderId="4" xfId="2" applyFont="1" applyBorder="1" applyAlignment="1">
      <alignment horizontal="left" vertical="center" wrapText="1"/>
    </xf>
    <xf numFmtId="0" fontId="4" fillId="2" borderId="6" xfId="2" applyFont="1" applyBorder="1" applyAlignment="1">
      <alignment horizontal="left" vertical="center" wrapText="1"/>
    </xf>
    <xf numFmtId="0" fontId="4" fillId="2" borderId="7" xfId="2" applyFont="1" applyBorder="1" applyAlignment="1">
      <alignment horizontal="left" vertical="center" wrapText="1"/>
    </xf>
    <xf numFmtId="0" fontId="4" fillId="2" borderId="8" xfId="2" applyFont="1" applyBorder="1" applyAlignment="1">
      <alignment horizontal="left" vertical="center" wrapText="1"/>
    </xf>
    <xf numFmtId="0" fontId="4" fillId="2" borderId="9" xfId="2" applyFont="1" applyBorder="1" applyAlignment="1">
      <alignment horizontal="left" vertical="center" wrapText="1"/>
    </xf>
    <xf numFmtId="0" fontId="2" fillId="2" borderId="5" xfId="2" applyFont="1" applyBorder="1" applyAlignment="1">
      <alignment horizontal="left" vertical="center" wrapText="1"/>
    </xf>
    <xf numFmtId="0" fontId="18" fillId="0" borderId="0" xfId="0" applyFont="1" applyAlignment="1">
      <alignment horizontal="center"/>
    </xf>
    <xf numFmtId="0" fontId="19" fillId="0" borderId="0" xfId="0" applyFont="1" applyAlignment="1">
      <alignment horizontal="left"/>
    </xf>
    <xf numFmtId="0" fontId="0" fillId="0" borderId="0" xfId="0" applyAlignment="1">
      <alignment horizontal="center"/>
    </xf>
    <xf numFmtId="44" fontId="0" fillId="0" borderId="0" xfId="8" applyFont="1" applyAlignment="1">
      <alignment horizontal="center"/>
    </xf>
    <xf numFmtId="0" fontId="20" fillId="0" borderId="0" xfId="0" applyFont="1" applyAlignment="1">
      <alignment horizontal="left"/>
    </xf>
    <xf numFmtId="0" fontId="21" fillId="0" borderId="0" xfId="0" applyFont="1" applyAlignment="1">
      <alignment horizontal="left"/>
    </xf>
    <xf numFmtId="0" fontId="0" fillId="0" borderId="0" xfId="0" applyAlignment="1">
      <alignment vertical="center"/>
    </xf>
    <xf numFmtId="0" fontId="2" fillId="11" borderId="27" xfId="0" applyFont="1" applyFill="1" applyBorder="1" applyAlignment="1">
      <alignment horizontal="left" vertical="center" wrapText="1"/>
    </xf>
    <xf numFmtId="0" fontId="2" fillId="11" borderId="28" xfId="0" applyFont="1" applyFill="1" applyBorder="1" applyAlignment="1">
      <alignment horizontal="center" vertical="center"/>
    </xf>
    <xf numFmtId="0" fontId="2" fillId="11" borderId="29" xfId="0" applyFont="1" applyFill="1" applyBorder="1" applyAlignment="1">
      <alignment horizontal="center" vertical="center"/>
    </xf>
    <xf numFmtId="0" fontId="2" fillId="11" borderId="30" xfId="0" applyFont="1" applyFill="1" applyBorder="1" applyAlignment="1">
      <alignment horizontal="center" vertical="center"/>
    </xf>
    <xf numFmtId="0" fontId="24" fillId="11" borderId="27" xfId="0" applyFont="1" applyFill="1" applyBorder="1" applyAlignment="1">
      <alignment horizontal="center" vertical="center" wrapText="1"/>
    </xf>
    <xf numFmtId="0" fontId="2" fillId="11" borderId="27" xfId="0" applyFont="1" applyFill="1" applyBorder="1" applyAlignment="1">
      <alignment horizontal="center" vertical="center" wrapText="1"/>
    </xf>
    <xf numFmtId="44" fontId="2" fillId="11" borderId="27" xfId="8" applyFont="1" applyFill="1" applyBorder="1" applyAlignment="1">
      <alignment horizontal="center" vertical="center" wrapText="1"/>
    </xf>
    <xf numFmtId="0" fontId="0" fillId="0" borderId="0" xfId="0" applyAlignment="1">
      <alignment horizontal="center" vertical="center"/>
    </xf>
    <xf numFmtId="0" fontId="2" fillId="11" borderId="31" xfId="0" applyFont="1" applyFill="1" applyBorder="1" applyAlignment="1">
      <alignment horizontal="left" vertical="center" wrapText="1"/>
    </xf>
    <xf numFmtId="0" fontId="2" fillId="11" borderId="6" xfId="0" applyFont="1" applyFill="1" applyBorder="1" applyAlignment="1">
      <alignment horizontal="center" vertical="center"/>
    </xf>
    <xf numFmtId="0" fontId="24" fillId="11" borderId="6" xfId="0" applyFont="1" applyFill="1" applyBorder="1" applyAlignment="1">
      <alignment horizontal="center" vertical="center"/>
    </xf>
    <xf numFmtId="0" fontId="24" fillId="11" borderId="0" xfId="0" applyFont="1" applyFill="1" applyAlignment="1">
      <alignment horizontal="center" vertical="center"/>
    </xf>
    <xf numFmtId="0" fontId="24" fillId="11" borderId="32" xfId="0" applyFont="1" applyFill="1" applyBorder="1" applyAlignment="1">
      <alignment horizontal="center" vertical="center" wrapText="1"/>
    </xf>
    <xf numFmtId="0" fontId="24" fillId="11" borderId="31" xfId="0" applyFont="1" applyFill="1" applyBorder="1" applyAlignment="1">
      <alignment horizontal="center" vertical="center" wrapText="1"/>
    </xf>
    <xf numFmtId="0" fontId="2" fillId="11" borderId="31" xfId="0" applyFont="1" applyFill="1" applyBorder="1" applyAlignment="1">
      <alignment horizontal="center" vertical="center" wrapText="1"/>
    </xf>
    <xf numFmtId="44" fontId="2" fillId="11" borderId="31" xfId="8"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3" fontId="0" fillId="0" borderId="2" xfId="0" applyNumberFormat="1" applyBorder="1" applyAlignment="1">
      <alignment horizontal="center"/>
    </xf>
    <xf numFmtId="0" fontId="0" fillId="0" borderId="2" xfId="0" applyBorder="1" applyAlignment="1">
      <alignment horizontal="center"/>
    </xf>
    <xf numFmtId="44" fontId="0" fillId="0" borderId="10" xfId="8" applyFont="1" applyFill="1" applyBorder="1" applyAlignment="1">
      <alignment horizontal="center"/>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vertical="center" wrapText="1"/>
    </xf>
    <xf numFmtId="3" fontId="0" fillId="0" borderId="5" xfId="0" applyNumberFormat="1" applyBorder="1" applyAlignment="1">
      <alignment horizontal="center"/>
    </xf>
    <xf numFmtId="0" fontId="0" fillId="0" borderId="5" xfId="0" applyBorder="1" applyAlignment="1">
      <alignment horizontal="center"/>
    </xf>
    <xf numFmtId="44" fontId="0" fillId="0" borderId="12" xfId="8" applyFont="1" applyFill="1" applyBorder="1" applyAlignment="1">
      <alignment horizontal="center"/>
    </xf>
    <xf numFmtId="0" fontId="0" fillId="0" borderId="5" xfId="0" applyBorder="1" applyAlignment="1">
      <alignment vertical="center"/>
    </xf>
    <xf numFmtId="0" fontId="3" fillId="0" borderId="5" xfId="0" applyFont="1" applyBorder="1" applyAlignment="1">
      <alignment horizontal="right"/>
    </xf>
    <xf numFmtId="44" fontId="0" fillId="8" borderId="12" xfId="8" applyFont="1" applyFill="1" applyBorder="1" applyAlignment="1">
      <alignment horizontal="center"/>
    </xf>
    <xf numFmtId="0" fontId="0" fillId="0" borderId="5" xfId="0" applyBorder="1" applyAlignment="1">
      <alignment horizontal="left" vertical="center"/>
    </xf>
    <xf numFmtId="0" fontId="0" fillId="0" borderId="5" xfId="0" applyBorder="1"/>
    <xf numFmtId="0" fontId="3" fillId="0" borderId="5" xfId="0" applyFont="1" applyBorder="1" applyAlignment="1">
      <alignment horizontal="right" vertical="center"/>
    </xf>
    <xf numFmtId="0" fontId="0" fillId="0" borderId="13" xfId="0" applyBorder="1"/>
    <xf numFmtId="0" fontId="0" fillId="0" borderId="14" xfId="0" applyBorder="1"/>
    <xf numFmtId="0" fontId="26" fillId="0" borderId="14" xfId="0" applyFont="1" applyBorder="1" applyAlignment="1">
      <alignment horizontal="right" vertical="center"/>
    </xf>
    <xf numFmtId="3" fontId="26" fillId="0" borderId="14" xfId="0" applyNumberFormat="1" applyFont="1" applyBorder="1" applyAlignment="1">
      <alignment horizontal="center"/>
    </xf>
    <xf numFmtId="0" fontId="26" fillId="0" borderId="14" xfId="0" applyFont="1" applyBorder="1" applyAlignment="1">
      <alignment horizontal="center"/>
    </xf>
    <xf numFmtId="44" fontId="26" fillId="0" borderId="15" xfId="8" applyFont="1" applyFill="1" applyBorder="1" applyAlignment="1">
      <alignment horizontal="center"/>
    </xf>
  </cellXfs>
  <cellStyles count="9">
    <cellStyle name="20% - Accent4" xfId="6" builtinId="42"/>
    <cellStyle name="40% - Accent1" xfId="3" builtinId="31"/>
    <cellStyle name="60% - Accent1" xfId="4" builtinId="32"/>
    <cellStyle name="60% - Accent4" xfId="7" builtinId="44"/>
    <cellStyle name="Accent1" xfId="2" builtinId="29"/>
    <cellStyle name="Accent4" xfId="5" builtinId="41"/>
    <cellStyle name="Currency" xfId="8"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54</xdr:row>
      <xdr:rowOff>990600</xdr:rowOff>
    </xdr:from>
    <xdr:to>
      <xdr:col>3</xdr:col>
      <xdr:colOff>1748264</xdr:colOff>
      <xdr:row>54</xdr:row>
      <xdr:rowOff>4394200</xdr:rowOff>
    </xdr:to>
    <xdr:pic>
      <xdr:nvPicPr>
        <xdr:cNvPr id="2" name="Picture 1">
          <a:extLst>
            <a:ext uri="{FF2B5EF4-FFF2-40B4-BE49-F238E27FC236}">
              <a16:creationId xmlns:a16="http://schemas.microsoft.com/office/drawing/2014/main" id="{EE488CBA-A9A5-2D49-8A9D-C9589A3EE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9" y="18122900"/>
          <a:ext cx="6726665" cy="340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2220966</xdr:colOff>
      <xdr:row>54</xdr:row>
      <xdr:rowOff>827781</xdr:rowOff>
    </xdr:from>
    <xdr:to>
      <xdr:col>11</xdr:col>
      <xdr:colOff>1258342</xdr:colOff>
      <xdr:row>54</xdr:row>
      <xdr:rowOff>4521202</xdr:rowOff>
    </xdr:to>
    <xdr:pic>
      <xdr:nvPicPr>
        <xdr:cNvPr id="3" name="Picture 2">
          <a:extLst>
            <a:ext uri="{FF2B5EF4-FFF2-40B4-BE49-F238E27FC236}">
              <a16:creationId xmlns:a16="http://schemas.microsoft.com/office/drawing/2014/main" id="{52DFABD8-01ED-CA48-9DDF-206C721570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10033893" y="15557354"/>
          <a:ext cx="3693421" cy="8498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A534-1CA3-2347-9985-AEF34ACC049F}">
  <sheetPr>
    <tabColor rgb="FF002060"/>
  </sheetPr>
  <dimension ref="B3:M140"/>
  <sheetViews>
    <sheetView showGridLines="0" tabSelected="1" workbookViewId="0">
      <selection activeCell="B3" sqref="B3:L3"/>
    </sheetView>
  </sheetViews>
  <sheetFormatPr baseColWidth="10" defaultColWidth="10.5" defaultRowHeight="16"/>
  <cols>
    <col min="1" max="1" width="7.5" customWidth="1"/>
    <col min="2" max="2" width="25" customWidth="1"/>
    <col min="3" max="3" width="38.5" customWidth="1"/>
    <col min="4" max="4" width="30.1640625" customWidth="1"/>
    <col min="5" max="5" width="13.33203125" style="1" customWidth="1"/>
    <col min="6" max="6" width="18.5" style="1" customWidth="1"/>
    <col min="7" max="7" width="15.5" customWidth="1"/>
    <col min="8" max="8" width="16.1640625" customWidth="1"/>
    <col min="9" max="9" width="15" customWidth="1"/>
    <col min="10" max="10" width="12.1640625" customWidth="1"/>
    <col min="11" max="11" width="4" hidden="1" customWidth="1"/>
    <col min="12" max="12" width="34.83203125" customWidth="1"/>
  </cols>
  <sheetData>
    <row r="3" spans="2:12" ht="35">
      <c r="B3" s="130" t="s">
        <v>0</v>
      </c>
      <c r="C3" s="130"/>
      <c r="D3" s="130"/>
      <c r="E3" s="130"/>
      <c r="F3" s="130"/>
      <c r="G3" s="130"/>
      <c r="H3" s="130"/>
      <c r="I3" s="130"/>
      <c r="J3" s="130"/>
      <c r="K3" s="130"/>
      <c r="L3" s="130"/>
    </row>
    <row r="4" spans="2:12" ht="26">
      <c r="B4" s="131" t="s">
        <v>1</v>
      </c>
      <c r="C4" s="131"/>
      <c r="D4" s="131"/>
      <c r="E4" s="131"/>
      <c r="F4" s="131"/>
      <c r="G4" s="131"/>
      <c r="H4" s="131"/>
      <c r="I4" s="131"/>
      <c r="J4" s="131"/>
      <c r="K4" s="131"/>
      <c r="L4" s="131"/>
    </row>
    <row r="5" spans="2:12" ht="24">
      <c r="B5" s="141" t="s">
        <v>286</v>
      </c>
      <c r="C5" s="141"/>
      <c r="D5" s="141"/>
      <c r="E5" s="141"/>
      <c r="F5" s="141"/>
      <c r="G5" s="141"/>
      <c r="H5" s="141"/>
      <c r="I5" s="141"/>
      <c r="J5" s="141"/>
      <c r="K5" s="141"/>
      <c r="L5" s="141"/>
    </row>
    <row r="7" spans="2:12" ht="21">
      <c r="B7" s="2" t="s">
        <v>2</v>
      </c>
    </row>
    <row r="8" spans="2:12" ht="17" thickBot="1"/>
    <row r="9" spans="2:12" ht="36" customHeight="1">
      <c r="B9" s="102" t="s">
        <v>3</v>
      </c>
      <c r="C9" s="132"/>
      <c r="D9" s="133" t="s">
        <v>4</v>
      </c>
      <c r="E9" s="133"/>
      <c r="F9" s="133"/>
      <c r="G9" s="133"/>
      <c r="H9" s="133"/>
      <c r="I9" s="133"/>
      <c r="J9" s="133"/>
      <c r="K9" s="133"/>
      <c r="L9" s="133"/>
    </row>
    <row r="10" spans="2:12" ht="32.25" customHeight="1">
      <c r="B10" s="134" t="s">
        <v>5</v>
      </c>
      <c r="C10" s="135"/>
      <c r="D10" s="140" t="s">
        <v>6</v>
      </c>
      <c r="E10" s="140"/>
      <c r="F10" s="140"/>
      <c r="G10" s="140"/>
      <c r="H10" s="140"/>
      <c r="I10" s="140"/>
      <c r="J10" s="140"/>
      <c r="K10" s="140"/>
      <c r="L10" s="140"/>
    </row>
    <row r="11" spans="2:12" ht="32.25" customHeight="1">
      <c r="B11" s="136"/>
      <c r="C11" s="137"/>
      <c r="D11" s="140" t="s">
        <v>7</v>
      </c>
      <c r="E11" s="140"/>
      <c r="F11" s="140"/>
      <c r="G11" s="140"/>
      <c r="H11" s="140"/>
      <c r="I11" s="140"/>
      <c r="J11" s="140"/>
      <c r="K11" s="140"/>
      <c r="L11" s="140"/>
    </row>
    <row r="12" spans="2:12" ht="31" customHeight="1" thickBot="1">
      <c r="B12" s="138"/>
      <c r="C12" s="139"/>
      <c r="D12" s="140" t="s">
        <v>8</v>
      </c>
      <c r="E12" s="140"/>
      <c r="F12" s="140"/>
      <c r="G12" s="140"/>
      <c r="H12" s="140"/>
      <c r="I12" s="140"/>
      <c r="J12" s="140"/>
      <c r="K12" s="140"/>
      <c r="L12" s="140"/>
    </row>
    <row r="14" spans="2:12" ht="21">
      <c r="B14" s="2" t="s">
        <v>9</v>
      </c>
    </row>
    <row r="15" spans="2:12" ht="17" thickBot="1"/>
    <row r="16" spans="2:12" s="3" customFormat="1" ht="16" customHeight="1">
      <c r="B16" s="125" t="s">
        <v>10</v>
      </c>
      <c r="C16" s="127" t="s">
        <v>11</v>
      </c>
      <c r="D16" s="128" t="s">
        <v>12</v>
      </c>
      <c r="E16" s="128"/>
      <c r="F16" s="128" t="s">
        <v>13</v>
      </c>
      <c r="G16" s="128"/>
      <c r="H16" s="128" t="s">
        <v>14</v>
      </c>
      <c r="I16" s="128"/>
      <c r="J16" s="128" t="s">
        <v>15</v>
      </c>
      <c r="K16" s="128"/>
      <c r="L16" s="129"/>
    </row>
    <row r="17" spans="2:12" s="3" customFormat="1" ht="16" customHeight="1">
      <c r="B17" s="126"/>
      <c r="C17" s="93"/>
      <c r="D17" s="93" t="s">
        <v>16</v>
      </c>
      <c r="E17" s="93" t="s">
        <v>17</v>
      </c>
      <c r="F17" s="93" t="s">
        <v>16</v>
      </c>
      <c r="G17" s="93" t="s">
        <v>17</v>
      </c>
      <c r="H17" s="93" t="s">
        <v>16</v>
      </c>
      <c r="I17" s="93" t="s">
        <v>17</v>
      </c>
      <c r="J17" s="121" t="s">
        <v>16</v>
      </c>
      <c r="K17" s="121"/>
      <c r="L17" s="122" t="s">
        <v>17</v>
      </c>
    </row>
    <row r="18" spans="2:12" s="3" customFormat="1" ht="33" customHeight="1">
      <c r="B18" s="126"/>
      <c r="C18" s="93"/>
      <c r="D18" s="93"/>
      <c r="E18" s="93"/>
      <c r="F18" s="93"/>
      <c r="G18" s="93"/>
      <c r="H18" s="93"/>
      <c r="I18" s="93"/>
      <c r="J18" s="121"/>
      <c r="K18" s="121"/>
      <c r="L18" s="122"/>
    </row>
    <row r="19" spans="2:12" ht="14.25" customHeight="1">
      <c r="B19" s="61" t="s">
        <v>18</v>
      </c>
      <c r="C19" s="18" t="s">
        <v>19</v>
      </c>
      <c r="D19" s="19">
        <f>0.326</f>
        <v>0.32600000000000001</v>
      </c>
      <c r="E19" s="19">
        <f>D19/2</f>
        <v>0.16300000000000001</v>
      </c>
      <c r="F19" s="20">
        <f>0.087</f>
        <v>8.6999999999999994E-2</v>
      </c>
      <c r="G19" s="21">
        <f>F19*70%</f>
        <v>6.0899999999999989E-2</v>
      </c>
      <c r="H19" s="19">
        <f>0.386</f>
        <v>0.38600000000000001</v>
      </c>
      <c r="I19" s="19">
        <f>H19/2</f>
        <v>0.193</v>
      </c>
      <c r="J19" s="124">
        <v>6.0000000000000001E-3</v>
      </c>
      <c r="K19" s="124"/>
      <c r="L19" s="22">
        <f>J19/2</f>
        <v>3.0000000000000001E-3</v>
      </c>
    </row>
    <row r="20" spans="2:12" ht="14.25" customHeight="1">
      <c r="B20" s="61"/>
      <c r="C20" s="18" t="s">
        <v>20</v>
      </c>
      <c r="D20" s="19">
        <f>0.332</f>
        <v>0.33200000000000002</v>
      </c>
      <c r="E20" s="19">
        <f t="shared" ref="E20:E46" si="0">D20/2</f>
        <v>0.16600000000000001</v>
      </c>
      <c r="F20" s="20">
        <f>0.122</f>
        <v>0.122</v>
      </c>
      <c r="G20" s="21">
        <f t="shared" ref="G20:G46" si="1">F20*70%</f>
        <v>8.539999999999999E-2</v>
      </c>
      <c r="H20" s="19">
        <f>0.322</f>
        <v>0.32200000000000001</v>
      </c>
      <c r="I20" s="19">
        <f t="shared" ref="I20:I46" si="2">H20/2</f>
        <v>0.161</v>
      </c>
      <c r="J20" s="114">
        <v>3.1E-2</v>
      </c>
      <c r="K20" s="114"/>
      <c r="L20" s="22">
        <f t="shared" ref="L20:L46" si="3">J20/2</f>
        <v>1.55E-2</v>
      </c>
    </row>
    <row r="21" spans="2:12" ht="14.25" customHeight="1">
      <c r="B21" s="61"/>
      <c r="C21" s="18" t="s">
        <v>21</v>
      </c>
      <c r="D21" s="19">
        <f>0.326</f>
        <v>0.32600000000000001</v>
      </c>
      <c r="E21" s="19">
        <f t="shared" si="0"/>
        <v>0.16300000000000001</v>
      </c>
      <c r="F21" s="20">
        <f>0.131</f>
        <v>0.13100000000000001</v>
      </c>
      <c r="G21" s="21">
        <f t="shared" si="1"/>
        <v>9.1700000000000004E-2</v>
      </c>
      <c r="H21" s="19">
        <f>0.363</f>
        <v>0.36299999999999999</v>
      </c>
      <c r="I21" s="19">
        <f t="shared" si="2"/>
        <v>0.18149999999999999</v>
      </c>
      <c r="J21" s="114">
        <f>0.049</f>
        <v>4.9000000000000002E-2</v>
      </c>
      <c r="K21" s="114"/>
      <c r="L21" s="22">
        <f t="shared" si="3"/>
        <v>2.4500000000000001E-2</v>
      </c>
    </row>
    <row r="22" spans="2:12" ht="14.25" customHeight="1">
      <c r="B22" s="61"/>
      <c r="C22" s="28" t="s">
        <v>22</v>
      </c>
      <c r="D22" s="29">
        <f>0.332</f>
        <v>0.33200000000000002</v>
      </c>
      <c r="E22" s="29">
        <f t="shared" si="0"/>
        <v>0.16600000000000001</v>
      </c>
      <c r="F22" s="30">
        <f>0.128</f>
        <v>0.128</v>
      </c>
      <c r="G22" s="31">
        <f t="shared" si="1"/>
        <v>8.9599999999999999E-2</v>
      </c>
      <c r="H22" s="29">
        <v>0.25</v>
      </c>
      <c r="I22" s="29">
        <f t="shared" si="2"/>
        <v>0.125</v>
      </c>
      <c r="J22" s="120">
        <f>0.062</f>
        <v>6.2E-2</v>
      </c>
      <c r="K22" s="120"/>
      <c r="L22" s="22">
        <f t="shared" si="3"/>
        <v>3.1E-2</v>
      </c>
    </row>
    <row r="23" spans="2:12" ht="14.25" customHeight="1">
      <c r="B23" s="61"/>
      <c r="C23" s="28" t="s">
        <v>23</v>
      </c>
      <c r="D23" s="29">
        <f>0.33</f>
        <v>0.33</v>
      </c>
      <c r="E23" s="29">
        <f t="shared" si="0"/>
        <v>0.16500000000000001</v>
      </c>
      <c r="F23" s="30">
        <v>0.13700000000000001</v>
      </c>
      <c r="G23" s="31">
        <f t="shared" si="1"/>
        <v>9.5899999999999999E-2</v>
      </c>
      <c r="H23" s="29">
        <f>0.161</f>
        <v>0.161</v>
      </c>
      <c r="I23" s="29">
        <f t="shared" si="2"/>
        <v>8.0500000000000002E-2</v>
      </c>
      <c r="J23" s="120">
        <f>0.012</f>
        <v>1.2E-2</v>
      </c>
      <c r="K23" s="120"/>
      <c r="L23" s="22">
        <f t="shared" si="3"/>
        <v>6.0000000000000001E-3</v>
      </c>
    </row>
    <row r="24" spans="2:12" ht="14.25" customHeight="1">
      <c r="B24" s="61"/>
      <c r="C24" s="28" t="s">
        <v>24</v>
      </c>
      <c r="D24" s="29">
        <f>0.428</f>
        <v>0.42799999999999999</v>
      </c>
      <c r="E24" s="29">
        <f t="shared" si="0"/>
        <v>0.214</v>
      </c>
      <c r="F24" s="30">
        <v>0.18</v>
      </c>
      <c r="G24" s="31">
        <f t="shared" si="1"/>
        <v>0.126</v>
      </c>
      <c r="H24" s="29">
        <v>0.253</v>
      </c>
      <c r="I24" s="29">
        <f t="shared" si="2"/>
        <v>0.1265</v>
      </c>
      <c r="J24" s="120">
        <v>2.5999999999999999E-2</v>
      </c>
      <c r="K24" s="120"/>
      <c r="L24" s="22">
        <f t="shared" si="3"/>
        <v>1.2999999999999999E-2</v>
      </c>
    </row>
    <row r="25" spans="2:12" ht="14.25" customHeight="1">
      <c r="B25" s="61"/>
      <c r="C25" s="28" t="s">
        <v>25</v>
      </c>
      <c r="D25" s="29">
        <f>0.39</f>
        <v>0.39</v>
      </c>
      <c r="E25" s="29">
        <f t="shared" si="0"/>
        <v>0.19500000000000001</v>
      </c>
      <c r="F25" s="30">
        <v>0.13100000000000001</v>
      </c>
      <c r="G25" s="31">
        <f t="shared" si="1"/>
        <v>9.1700000000000004E-2</v>
      </c>
      <c r="H25" s="29">
        <v>0.3</v>
      </c>
      <c r="I25" s="29">
        <f t="shared" si="2"/>
        <v>0.15</v>
      </c>
      <c r="J25" s="120">
        <v>0.01</v>
      </c>
      <c r="K25" s="120"/>
      <c r="L25" s="22">
        <f t="shared" si="3"/>
        <v>5.0000000000000001E-3</v>
      </c>
    </row>
    <row r="26" spans="2:12" ht="14.25" customHeight="1">
      <c r="B26" s="61"/>
      <c r="C26" s="28" t="s">
        <v>26</v>
      </c>
      <c r="D26" s="29">
        <f>0.284</f>
        <v>0.28399999999999997</v>
      </c>
      <c r="E26" s="29">
        <f t="shared" si="0"/>
        <v>0.14199999999999999</v>
      </c>
      <c r="F26" s="30">
        <v>7.8E-2</v>
      </c>
      <c r="G26" s="31">
        <f t="shared" si="1"/>
        <v>5.4599999999999996E-2</v>
      </c>
      <c r="H26" s="29">
        <f>0.375</f>
        <v>0.375</v>
      </c>
      <c r="I26" s="29">
        <f t="shared" si="2"/>
        <v>0.1875</v>
      </c>
      <c r="J26" s="120">
        <v>3.7999999999999999E-2</v>
      </c>
      <c r="K26" s="120"/>
      <c r="L26" s="22">
        <f t="shared" si="3"/>
        <v>1.9E-2</v>
      </c>
    </row>
    <row r="27" spans="2:12" ht="14.25" customHeight="1">
      <c r="B27" s="61"/>
      <c r="C27" s="28" t="s">
        <v>27</v>
      </c>
      <c r="D27" s="29">
        <f>0.363</f>
        <v>0.36299999999999999</v>
      </c>
      <c r="E27" s="29">
        <f t="shared" si="0"/>
        <v>0.18149999999999999</v>
      </c>
      <c r="F27" s="30">
        <f>0.113</f>
        <v>0.113</v>
      </c>
      <c r="G27" s="31">
        <f t="shared" si="1"/>
        <v>7.9100000000000004E-2</v>
      </c>
      <c r="H27" s="29">
        <f>0.255</f>
        <v>0.255</v>
      </c>
      <c r="I27" s="29">
        <f t="shared" si="2"/>
        <v>0.1275</v>
      </c>
      <c r="J27" s="120">
        <v>2.4E-2</v>
      </c>
      <c r="K27" s="120"/>
      <c r="L27" s="22">
        <f t="shared" si="3"/>
        <v>1.2E-2</v>
      </c>
    </row>
    <row r="28" spans="2:12" ht="14.25" customHeight="1">
      <c r="B28" s="61"/>
      <c r="C28" s="28" t="s">
        <v>28</v>
      </c>
      <c r="D28" s="29">
        <f>0.366</f>
        <v>0.36599999999999999</v>
      </c>
      <c r="E28" s="29">
        <f t="shared" si="0"/>
        <v>0.183</v>
      </c>
      <c r="F28" s="30">
        <f>0.117</f>
        <v>0.11700000000000001</v>
      </c>
      <c r="G28" s="31">
        <f t="shared" si="1"/>
        <v>8.1900000000000001E-2</v>
      </c>
      <c r="H28" s="29">
        <f>0.293</f>
        <v>0.29299999999999998</v>
      </c>
      <c r="I28" s="29">
        <f t="shared" si="2"/>
        <v>0.14649999999999999</v>
      </c>
      <c r="J28" s="120">
        <f>0.016</f>
        <v>1.6E-2</v>
      </c>
      <c r="K28" s="120"/>
      <c r="L28" s="22">
        <f t="shared" si="3"/>
        <v>8.0000000000000002E-3</v>
      </c>
    </row>
    <row r="29" spans="2:12" ht="14.25" customHeight="1">
      <c r="B29" s="61"/>
      <c r="C29" s="28" t="s">
        <v>29</v>
      </c>
      <c r="D29" s="29">
        <v>0.246</v>
      </c>
      <c r="E29" s="29">
        <v>0.12</v>
      </c>
      <c r="F29" s="30">
        <v>9.1999999999999998E-2</v>
      </c>
      <c r="G29" s="31">
        <v>6.4000000000000001E-2</v>
      </c>
      <c r="H29" s="29">
        <v>0.41699999999999998</v>
      </c>
      <c r="I29" s="29">
        <v>0.21</v>
      </c>
      <c r="J29" s="32">
        <v>3.7999999999999999E-2</v>
      </c>
      <c r="K29" s="32"/>
      <c r="L29" s="22">
        <v>1.9E-2</v>
      </c>
    </row>
    <row r="30" spans="2:12" ht="14.25" customHeight="1">
      <c r="B30" s="61"/>
      <c r="C30" s="28" t="s">
        <v>30</v>
      </c>
      <c r="D30" s="29">
        <f>0.385</f>
        <v>0.38500000000000001</v>
      </c>
      <c r="E30" s="29">
        <f t="shared" si="0"/>
        <v>0.1925</v>
      </c>
      <c r="F30" s="30">
        <v>0.14199999999999999</v>
      </c>
      <c r="G30" s="31">
        <f t="shared" si="1"/>
        <v>9.9399999999999988E-2</v>
      </c>
      <c r="H30" s="29">
        <v>0.29199999999999998</v>
      </c>
      <c r="I30" s="29">
        <f t="shared" si="2"/>
        <v>0.14599999999999999</v>
      </c>
      <c r="J30" s="120">
        <v>3.4000000000000002E-2</v>
      </c>
      <c r="K30" s="120"/>
      <c r="L30" s="22">
        <f t="shared" si="3"/>
        <v>1.7000000000000001E-2</v>
      </c>
    </row>
    <row r="31" spans="2:12" ht="14.25" customHeight="1">
      <c r="B31" s="61"/>
      <c r="C31" s="28" t="s">
        <v>31</v>
      </c>
      <c r="D31" s="29">
        <v>0.45400000000000001</v>
      </c>
      <c r="E31" s="29">
        <f t="shared" si="0"/>
        <v>0.22700000000000001</v>
      </c>
      <c r="F31" s="30">
        <v>0.128</v>
      </c>
      <c r="G31" s="31">
        <f t="shared" si="1"/>
        <v>8.9599999999999999E-2</v>
      </c>
      <c r="H31" s="29">
        <v>0.55500000000000005</v>
      </c>
      <c r="I31" s="29">
        <f t="shared" si="2"/>
        <v>0.27750000000000002</v>
      </c>
      <c r="J31" s="120">
        <f>0.017</f>
        <v>1.7000000000000001E-2</v>
      </c>
      <c r="K31" s="120"/>
      <c r="L31" s="22">
        <f t="shared" si="3"/>
        <v>8.5000000000000006E-3</v>
      </c>
    </row>
    <row r="32" spans="2:12" ht="14.25" customHeight="1">
      <c r="B32" s="61"/>
      <c r="C32" s="28" t="s">
        <v>32</v>
      </c>
      <c r="D32" s="29">
        <f>0.44</f>
        <v>0.44</v>
      </c>
      <c r="E32" s="29">
        <f t="shared" si="0"/>
        <v>0.22</v>
      </c>
      <c r="F32" s="30">
        <v>0.14000000000000001</v>
      </c>
      <c r="G32" s="31">
        <f t="shared" si="1"/>
        <v>9.8000000000000004E-2</v>
      </c>
      <c r="H32" s="29">
        <f>0.31</f>
        <v>0.31</v>
      </c>
      <c r="I32" s="29">
        <f t="shared" si="2"/>
        <v>0.155</v>
      </c>
      <c r="J32" s="120">
        <f>0.031</f>
        <v>3.1E-2</v>
      </c>
      <c r="K32" s="120"/>
      <c r="L32" s="22">
        <f t="shared" si="3"/>
        <v>1.55E-2</v>
      </c>
    </row>
    <row r="33" spans="2:12" ht="14.25" customHeight="1">
      <c r="B33" s="61"/>
      <c r="C33" s="28" t="s">
        <v>33</v>
      </c>
      <c r="D33" s="29">
        <f>0.365</f>
        <v>0.36499999999999999</v>
      </c>
      <c r="E33" s="29">
        <f t="shared" si="0"/>
        <v>0.1825</v>
      </c>
      <c r="F33" s="30">
        <v>0.16200000000000001</v>
      </c>
      <c r="G33" s="31">
        <f t="shared" si="1"/>
        <v>0.1134</v>
      </c>
      <c r="H33" s="29">
        <f>0.31</f>
        <v>0.31</v>
      </c>
      <c r="I33" s="29">
        <f t="shared" si="2"/>
        <v>0.155</v>
      </c>
      <c r="J33" s="120">
        <v>4.1000000000000002E-2</v>
      </c>
      <c r="K33" s="120"/>
      <c r="L33" s="22">
        <f t="shared" si="3"/>
        <v>2.0500000000000001E-2</v>
      </c>
    </row>
    <row r="34" spans="2:12" ht="14.25" customHeight="1">
      <c r="B34" s="61"/>
      <c r="C34" s="28" t="s">
        <v>34</v>
      </c>
      <c r="D34" s="29">
        <v>0.31</v>
      </c>
      <c r="E34" s="29">
        <f t="shared" si="0"/>
        <v>0.155</v>
      </c>
      <c r="F34" s="30">
        <v>0.16900000000000001</v>
      </c>
      <c r="G34" s="31">
        <f t="shared" si="1"/>
        <v>0.1183</v>
      </c>
      <c r="H34" s="29">
        <f>0.435</f>
        <v>0.435</v>
      </c>
      <c r="I34" s="29">
        <f t="shared" si="2"/>
        <v>0.2175</v>
      </c>
      <c r="J34" s="120">
        <f>0.071</f>
        <v>7.0999999999999994E-2</v>
      </c>
      <c r="K34" s="120"/>
      <c r="L34" s="22">
        <f t="shared" si="3"/>
        <v>3.5499999999999997E-2</v>
      </c>
    </row>
    <row r="35" spans="2:12" ht="14.25" customHeight="1">
      <c r="B35" s="61"/>
      <c r="C35" s="28" t="s">
        <v>35</v>
      </c>
      <c r="D35" s="29">
        <f>0.389</f>
        <v>0.38900000000000001</v>
      </c>
      <c r="E35" s="29">
        <f t="shared" si="0"/>
        <v>0.19450000000000001</v>
      </c>
      <c r="F35" s="30">
        <v>0.124</v>
      </c>
      <c r="G35" s="31">
        <f t="shared" si="1"/>
        <v>8.6799999999999988E-2</v>
      </c>
      <c r="H35" s="29">
        <f>0.303</f>
        <v>0.30299999999999999</v>
      </c>
      <c r="I35" s="29">
        <f t="shared" si="2"/>
        <v>0.1515</v>
      </c>
      <c r="J35" s="120">
        <f>0.027</f>
        <v>2.7E-2</v>
      </c>
      <c r="K35" s="120"/>
      <c r="L35" s="22">
        <f t="shared" si="3"/>
        <v>1.35E-2</v>
      </c>
    </row>
    <row r="36" spans="2:12" ht="14.25" customHeight="1">
      <c r="B36" s="61"/>
      <c r="C36" s="28" t="s">
        <v>36</v>
      </c>
      <c r="D36" s="29">
        <v>0.45400000000000001</v>
      </c>
      <c r="E36" s="29">
        <f t="shared" si="0"/>
        <v>0.22700000000000001</v>
      </c>
      <c r="F36" s="30">
        <v>0.13300000000000001</v>
      </c>
      <c r="G36" s="31">
        <f t="shared" si="1"/>
        <v>9.3100000000000002E-2</v>
      </c>
      <c r="H36" s="29">
        <v>0.4</v>
      </c>
      <c r="I36" s="29">
        <f t="shared" si="2"/>
        <v>0.2</v>
      </c>
      <c r="J36" s="120">
        <f>0.041</f>
        <v>4.1000000000000002E-2</v>
      </c>
      <c r="K36" s="120"/>
      <c r="L36" s="22">
        <f t="shared" si="3"/>
        <v>2.0500000000000001E-2</v>
      </c>
    </row>
    <row r="37" spans="2:12" ht="14.25" customHeight="1">
      <c r="B37" s="61"/>
      <c r="C37" s="28" t="s">
        <v>37</v>
      </c>
      <c r="D37" s="29">
        <f>0.325</f>
        <v>0.32500000000000001</v>
      </c>
      <c r="E37" s="29">
        <f t="shared" si="0"/>
        <v>0.16250000000000001</v>
      </c>
      <c r="F37" s="30">
        <v>0.126</v>
      </c>
      <c r="G37" s="31">
        <f t="shared" si="1"/>
        <v>8.8200000000000001E-2</v>
      </c>
      <c r="H37" s="29">
        <f>0.444</f>
        <v>0.44400000000000001</v>
      </c>
      <c r="I37" s="29">
        <f t="shared" si="2"/>
        <v>0.222</v>
      </c>
      <c r="J37" s="120">
        <v>1E-3</v>
      </c>
      <c r="K37" s="120"/>
      <c r="L37" s="22">
        <f t="shared" si="3"/>
        <v>5.0000000000000001E-4</v>
      </c>
    </row>
    <row r="38" spans="2:12" ht="14.25" customHeight="1">
      <c r="B38" s="61"/>
      <c r="C38" s="28" t="s">
        <v>38</v>
      </c>
      <c r="D38" s="29">
        <f>0.332</f>
        <v>0.33200000000000002</v>
      </c>
      <c r="E38" s="29">
        <f t="shared" si="0"/>
        <v>0.16600000000000001</v>
      </c>
      <c r="F38" s="30">
        <v>9.8000000000000004E-2</v>
      </c>
      <c r="G38" s="31">
        <f t="shared" si="1"/>
        <v>6.8599999999999994E-2</v>
      </c>
      <c r="H38" s="29">
        <f>0.465</f>
        <v>0.46500000000000002</v>
      </c>
      <c r="I38" s="29">
        <f t="shared" si="2"/>
        <v>0.23250000000000001</v>
      </c>
      <c r="J38" s="120">
        <f>0.018</f>
        <v>1.7999999999999999E-2</v>
      </c>
      <c r="K38" s="120"/>
      <c r="L38" s="22">
        <f t="shared" si="3"/>
        <v>8.9999999999999993E-3</v>
      </c>
    </row>
    <row r="39" spans="2:12" ht="14.25" customHeight="1">
      <c r="B39" s="61"/>
      <c r="C39" s="28" t="s">
        <v>39</v>
      </c>
      <c r="D39" s="29">
        <f>0.316</f>
        <v>0.316</v>
      </c>
      <c r="E39" s="29">
        <f t="shared" si="0"/>
        <v>0.158</v>
      </c>
      <c r="F39" s="30">
        <v>0.11600000000000001</v>
      </c>
      <c r="G39" s="31">
        <f t="shared" si="1"/>
        <v>8.1199999999999994E-2</v>
      </c>
      <c r="H39" s="29">
        <v>0.5</v>
      </c>
      <c r="I39" s="29">
        <f t="shared" si="2"/>
        <v>0.25</v>
      </c>
      <c r="J39" s="120">
        <f>0.087</f>
        <v>8.6999999999999994E-2</v>
      </c>
      <c r="K39" s="120"/>
      <c r="L39" s="22">
        <f t="shared" si="3"/>
        <v>4.3499999999999997E-2</v>
      </c>
    </row>
    <row r="40" spans="2:12" ht="14.25" customHeight="1">
      <c r="B40" s="61"/>
      <c r="C40" s="28" t="s">
        <v>40</v>
      </c>
      <c r="D40" s="29">
        <f>0.416</f>
        <v>0.41599999999999998</v>
      </c>
      <c r="E40" s="29">
        <f t="shared" si="0"/>
        <v>0.20799999999999999</v>
      </c>
      <c r="F40" s="30">
        <v>0.109</v>
      </c>
      <c r="G40" s="31">
        <f t="shared" si="1"/>
        <v>7.6299999999999993E-2</v>
      </c>
      <c r="H40" s="29">
        <v>0.318</v>
      </c>
      <c r="I40" s="29">
        <f t="shared" si="2"/>
        <v>0.159</v>
      </c>
      <c r="J40" s="120">
        <f>0.035</f>
        <v>3.5000000000000003E-2</v>
      </c>
      <c r="K40" s="120"/>
      <c r="L40" s="22">
        <f t="shared" si="3"/>
        <v>1.7500000000000002E-2</v>
      </c>
    </row>
    <row r="41" spans="2:12" ht="14.25" customHeight="1">
      <c r="B41" s="61"/>
      <c r="C41" s="18" t="s">
        <v>41</v>
      </c>
      <c r="D41" s="19">
        <f>0.395</f>
        <v>0.39500000000000002</v>
      </c>
      <c r="E41" s="19">
        <f t="shared" si="0"/>
        <v>0.19750000000000001</v>
      </c>
      <c r="F41" s="20">
        <v>0.124</v>
      </c>
      <c r="G41" s="21">
        <f t="shared" si="1"/>
        <v>8.6799999999999988E-2</v>
      </c>
      <c r="H41" s="19">
        <f>0.246</f>
        <v>0.246</v>
      </c>
      <c r="I41" s="19">
        <f t="shared" si="2"/>
        <v>0.123</v>
      </c>
      <c r="J41" s="114">
        <f>0.017</f>
        <v>1.7000000000000001E-2</v>
      </c>
      <c r="K41" s="114"/>
      <c r="L41" s="22">
        <f t="shared" si="3"/>
        <v>8.5000000000000006E-3</v>
      </c>
    </row>
    <row r="42" spans="2:12" ht="14.25" customHeight="1">
      <c r="B42" s="61"/>
      <c r="C42" s="18" t="s">
        <v>42</v>
      </c>
      <c r="D42" s="19">
        <f>0.314</f>
        <v>0.314</v>
      </c>
      <c r="E42" s="19">
        <f t="shared" si="0"/>
        <v>0.157</v>
      </c>
      <c r="F42" s="20">
        <v>0.122</v>
      </c>
      <c r="G42" s="21">
        <f t="shared" si="1"/>
        <v>8.539999999999999E-2</v>
      </c>
      <c r="H42" s="19">
        <f>0.29</f>
        <v>0.28999999999999998</v>
      </c>
      <c r="I42" s="19">
        <f t="shared" si="2"/>
        <v>0.14499999999999999</v>
      </c>
      <c r="J42" s="114">
        <f>0.023</f>
        <v>2.3E-2</v>
      </c>
      <c r="K42" s="114"/>
      <c r="L42" s="22">
        <f t="shared" si="3"/>
        <v>1.15E-2</v>
      </c>
    </row>
    <row r="43" spans="2:12" ht="14.25" customHeight="1">
      <c r="B43" s="61"/>
      <c r="C43" s="18" t="s">
        <v>43</v>
      </c>
      <c r="D43" s="19">
        <f>0.321</f>
        <v>0.32100000000000001</v>
      </c>
      <c r="E43" s="19">
        <f t="shared" si="0"/>
        <v>0.1605</v>
      </c>
      <c r="F43" s="20">
        <f>0.126</f>
        <v>0.126</v>
      </c>
      <c r="G43" s="21">
        <f t="shared" si="1"/>
        <v>8.8200000000000001E-2</v>
      </c>
      <c r="H43" s="19">
        <f>0.257</f>
        <v>0.25700000000000001</v>
      </c>
      <c r="I43" s="19">
        <f t="shared" si="2"/>
        <v>0.1285</v>
      </c>
      <c r="J43" s="114">
        <v>1.4999999999999999E-2</v>
      </c>
      <c r="K43" s="114"/>
      <c r="L43" s="22">
        <f t="shared" si="3"/>
        <v>7.4999999999999997E-3</v>
      </c>
    </row>
    <row r="44" spans="2:12" ht="14.25" customHeight="1">
      <c r="B44" s="61"/>
      <c r="C44" s="18" t="s">
        <v>44</v>
      </c>
      <c r="D44" s="19">
        <f>0.345</f>
        <v>0.34499999999999997</v>
      </c>
      <c r="E44" s="19">
        <f t="shared" si="0"/>
        <v>0.17249999999999999</v>
      </c>
      <c r="F44" s="20">
        <f>0.098</f>
        <v>9.8000000000000004E-2</v>
      </c>
      <c r="G44" s="21">
        <f t="shared" si="1"/>
        <v>6.8599999999999994E-2</v>
      </c>
      <c r="H44" s="19">
        <f>0.314</f>
        <v>0.314</v>
      </c>
      <c r="I44" s="19">
        <f t="shared" si="2"/>
        <v>0.157</v>
      </c>
      <c r="J44" s="114">
        <v>1.4E-2</v>
      </c>
      <c r="K44" s="114"/>
      <c r="L44" s="22">
        <f t="shared" si="3"/>
        <v>7.0000000000000001E-3</v>
      </c>
    </row>
    <row r="45" spans="2:12" ht="14.25" customHeight="1">
      <c r="B45" s="61"/>
      <c r="C45" s="18" t="s">
        <v>45</v>
      </c>
      <c r="D45" s="19">
        <f>0.356</f>
        <v>0.35599999999999998</v>
      </c>
      <c r="E45" s="19">
        <f t="shared" si="0"/>
        <v>0.17799999999999999</v>
      </c>
      <c r="F45" s="20">
        <f>0.118</f>
        <v>0.11799999999999999</v>
      </c>
      <c r="G45" s="21">
        <f>F45*70%</f>
        <v>8.2599999999999993E-2</v>
      </c>
      <c r="H45" s="19">
        <f>0.356</f>
        <v>0.35599999999999998</v>
      </c>
      <c r="I45" s="19">
        <f t="shared" si="2"/>
        <v>0.17799999999999999</v>
      </c>
      <c r="J45" s="114">
        <v>3.4000000000000002E-2</v>
      </c>
      <c r="K45" s="114"/>
      <c r="L45" s="22">
        <f t="shared" si="3"/>
        <v>1.7000000000000001E-2</v>
      </c>
    </row>
    <row r="46" spans="2:12" ht="17" thickBot="1">
      <c r="B46" s="123"/>
      <c r="C46" s="23" t="s">
        <v>46</v>
      </c>
      <c r="D46" s="24">
        <f>0.364</f>
        <v>0.36399999999999999</v>
      </c>
      <c r="E46" s="24">
        <f t="shared" si="0"/>
        <v>0.182</v>
      </c>
      <c r="F46" s="25">
        <v>9.0999999999999998E-2</v>
      </c>
      <c r="G46" s="26">
        <f t="shared" si="1"/>
        <v>6.3699999999999993E-2</v>
      </c>
      <c r="H46" s="24">
        <f>0.254</f>
        <v>0.254</v>
      </c>
      <c r="I46" s="24">
        <f t="shared" si="2"/>
        <v>0.127</v>
      </c>
      <c r="J46" s="115">
        <v>4.5999999999999999E-2</v>
      </c>
      <c r="K46" s="115"/>
      <c r="L46" s="27">
        <f t="shared" si="3"/>
        <v>2.3E-2</v>
      </c>
    </row>
    <row r="49" spans="2:12">
      <c r="B49" s="33" t="s">
        <v>47</v>
      </c>
      <c r="C49" s="34"/>
      <c r="D49" s="34"/>
      <c r="E49" s="35"/>
      <c r="F49" s="35"/>
      <c r="G49" s="34"/>
      <c r="H49" s="34"/>
      <c r="I49" s="34"/>
      <c r="J49" s="34"/>
      <c r="K49" s="34"/>
      <c r="L49" s="34"/>
    </row>
    <row r="50" spans="2:12" ht="17" thickBot="1">
      <c r="B50" s="34"/>
      <c r="C50" s="34"/>
      <c r="D50" s="34"/>
      <c r="E50" s="35"/>
      <c r="F50" s="35"/>
      <c r="G50" s="34"/>
      <c r="H50" s="34"/>
      <c r="I50" s="34"/>
      <c r="J50" s="34"/>
      <c r="K50" s="34"/>
      <c r="L50" s="34"/>
    </row>
    <row r="51" spans="2:12" ht="409.25" customHeight="1" thickBot="1">
      <c r="B51" s="116" t="s">
        <v>48</v>
      </c>
      <c r="C51" s="117"/>
      <c r="D51" s="117"/>
      <c r="E51" s="117"/>
      <c r="F51" s="117"/>
      <c r="G51" s="117"/>
      <c r="H51" s="117"/>
      <c r="I51" s="117"/>
      <c r="J51" s="117"/>
      <c r="K51" s="117"/>
      <c r="L51" s="117"/>
    </row>
    <row r="53" spans="2:12" ht="21">
      <c r="B53" s="2" t="s">
        <v>49</v>
      </c>
    </row>
    <row r="54" spans="2:12" ht="17" thickBot="1"/>
    <row r="55" spans="2:12" ht="400" customHeight="1" thickBot="1">
      <c r="B55" s="118" t="s">
        <v>50</v>
      </c>
      <c r="C55" s="119"/>
      <c r="D55" s="119"/>
      <c r="E55" s="119"/>
      <c r="F55" s="119"/>
      <c r="G55" s="119"/>
      <c r="H55" s="119"/>
      <c r="I55" s="119"/>
      <c r="J55" s="119"/>
      <c r="K55" s="119"/>
      <c r="L55" s="119"/>
    </row>
    <row r="57" spans="2:12" ht="21">
      <c r="B57" s="4" t="s">
        <v>51</v>
      </c>
    </row>
    <row r="58" spans="2:12" ht="17" thickBot="1"/>
    <row r="59" spans="2:12" ht="15.75" customHeight="1">
      <c r="B59" s="102" t="s">
        <v>5</v>
      </c>
      <c r="C59" s="103"/>
      <c r="D59" s="104" t="s">
        <v>52</v>
      </c>
      <c r="E59" s="104"/>
      <c r="F59" s="104"/>
      <c r="G59" s="104"/>
      <c r="H59" s="104"/>
      <c r="I59" s="104"/>
      <c r="J59" s="104"/>
      <c r="K59" s="104"/>
      <c r="L59" s="105"/>
    </row>
    <row r="60" spans="2:12">
      <c r="B60" s="106" t="s">
        <v>53</v>
      </c>
      <c r="C60" s="107"/>
      <c r="D60" s="108">
        <v>0.08</v>
      </c>
      <c r="E60" s="108"/>
      <c r="F60" s="108"/>
      <c r="G60" s="108"/>
      <c r="H60" s="108"/>
      <c r="I60" s="108"/>
      <c r="J60" s="108"/>
      <c r="K60" s="108"/>
      <c r="L60" s="109"/>
    </row>
    <row r="61" spans="2:12" ht="16" customHeight="1" thickBot="1">
      <c r="B61" s="110" t="s">
        <v>287</v>
      </c>
      <c r="C61" s="111"/>
      <c r="D61" s="112">
        <v>9.9000000000000005E-2</v>
      </c>
      <c r="E61" s="112"/>
      <c r="F61" s="112"/>
      <c r="G61" s="112"/>
      <c r="H61" s="112"/>
      <c r="I61" s="112"/>
      <c r="J61" s="112"/>
      <c r="K61" s="112"/>
      <c r="L61" s="113"/>
    </row>
    <row r="62" spans="2:12">
      <c r="B62" s="5"/>
      <c r="C62" s="5"/>
      <c r="D62" s="6"/>
      <c r="E62" s="6"/>
      <c r="F62" s="6"/>
      <c r="G62" s="6"/>
      <c r="H62" s="6"/>
      <c r="I62" s="6"/>
      <c r="J62" s="6"/>
      <c r="K62" s="6"/>
      <c r="L62" s="6"/>
    </row>
    <row r="63" spans="2:12" ht="21">
      <c r="B63" s="4" t="s">
        <v>54</v>
      </c>
    </row>
    <row r="64" spans="2:12" ht="17" thickBot="1"/>
    <row r="65" spans="2:13" ht="16" customHeight="1">
      <c r="B65" s="83" t="s">
        <v>55</v>
      </c>
      <c r="C65" s="85" t="s">
        <v>56</v>
      </c>
      <c r="D65" s="87" t="s">
        <v>57</v>
      </c>
      <c r="E65" s="85"/>
      <c r="F65" s="85"/>
      <c r="G65" s="85" t="s">
        <v>58</v>
      </c>
      <c r="H65" s="85"/>
      <c r="I65" s="85"/>
      <c r="J65" s="85"/>
      <c r="K65" s="85"/>
      <c r="L65" s="88"/>
    </row>
    <row r="66" spans="2:13" ht="51">
      <c r="B66" s="84"/>
      <c r="C66" s="86"/>
      <c r="D66" s="36" t="s">
        <v>59</v>
      </c>
      <c r="E66" s="36" t="s">
        <v>60</v>
      </c>
      <c r="F66" s="36" t="s">
        <v>61</v>
      </c>
      <c r="G66" s="89" t="s">
        <v>62</v>
      </c>
      <c r="H66" s="89"/>
      <c r="I66" s="89"/>
      <c r="J66" s="89"/>
      <c r="K66" s="89"/>
      <c r="L66" s="41" t="s">
        <v>63</v>
      </c>
    </row>
    <row r="67" spans="2:13" ht="77.5" customHeight="1">
      <c r="B67" s="98" t="s">
        <v>64</v>
      </c>
      <c r="C67" s="37" t="s">
        <v>65</v>
      </c>
      <c r="D67" s="37" t="s">
        <v>66</v>
      </c>
      <c r="E67" s="37" t="s">
        <v>67</v>
      </c>
      <c r="F67" s="37" t="s">
        <v>68</v>
      </c>
      <c r="G67" s="95" t="s">
        <v>69</v>
      </c>
      <c r="H67" s="101"/>
      <c r="I67" s="101"/>
      <c r="J67" s="101"/>
      <c r="K67" s="37"/>
      <c r="L67" s="42" t="s">
        <v>70</v>
      </c>
      <c r="M67" s="7"/>
    </row>
    <row r="68" spans="2:13" ht="119">
      <c r="B68" s="99"/>
      <c r="C68" s="37" t="s">
        <v>71</v>
      </c>
      <c r="D68" s="37" t="s">
        <v>72</v>
      </c>
      <c r="E68" s="37" t="s">
        <v>73</v>
      </c>
      <c r="F68" s="37" t="s">
        <v>74</v>
      </c>
      <c r="G68" s="95" t="s">
        <v>75</v>
      </c>
      <c r="H68" s="101"/>
      <c r="I68" s="101"/>
      <c r="J68" s="101"/>
      <c r="K68" s="101"/>
      <c r="L68" s="43" t="s">
        <v>76</v>
      </c>
    </row>
    <row r="69" spans="2:13" ht="119">
      <c r="B69" s="99"/>
      <c r="C69" s="37" t="s">
        <v>77</v>
      </c>
      <c r="D69" s="37" t="s">
        <v>78</v>
      </c>
      <c r="E69" s="37" t="s">
        <v>79</v>
      </c>
      <c r="F69" s="37" t="s">
        <v>80</v>
      </c>
      <c r="G69" s="95" t="s">
        <v>81</v>
      </c>
      <c r="H69" s="95"/>
      <c r="I69" s="95"/>
      <c r="J69" s="95"/>
      <c r="K69" s="95"/>
      <c r="L69" s="43" t="s">
        <v>82</v>
      </c>
    </row>
    <row r="70" spans="2:13" ht="157" customHeight="1">
      <c r="B70" s="99"/>
      <c r="C70" s="37" t="s">
        <v>83</v>
      </c>
      <c r="D70" s="37" t="s">
        <v>84</v>
      </c>
      <c r="E70" s="37" t="s">
        <v>79</v>
      </c>
      <c r="F70" s="37" t="s">
        <v>80</v>
      </c>
      <c r="G70" s="95" t="s">
        <v>85</v>
      </c>
      <c r="H70" s="95"/>
      <c r="I70" s="95"/>
      <c r="J70" s="95"/>
      <c r="K70" s="37"/>
      <c r="L70" s="42" t="s">
        <v>86</v>
      </c>
      <c r="M70" s="7"/>
    </row>
    <row r="71" spans="2:13" ht="68">
      <c r="B71" s="99"/>
      <c r="C71" s="37" t="s">
        <v>87</v>
      </c>
      <c r="D71" s="37" t="s">
        <v>88</v>
      </c>
      <c r="E71" s="37" t="s">
        <v>89</v>
      </c>
      <c r="F71" s="37" t="s">
        <v>90</v>
      </c>
      <c r="G71" s="95" t="s">
        <v>91</v>
      </c>
      <c r="H71" s="95"/>
      <c r="I71" s="95"/>
      <c r="J71" s="95"/>
      <c r="K71" s="95"/>
      <c r="L71" s="43" t="s">
        <v>92</v>
      </c>
    </row>
    <row r="72" spans="2:13" ht="119">
      <c r="B72" s="99"/>
      <c r="C72" s="37" t="s">
        <v>93</v>
      </c>
      <c r="D72" s="37" t="s">
        <v>94</v>
      </c>
      <c r="E72" s="37" t="s">
        <v>95</v>
      </c>
      <c r="F72" s="37" t="s">
        <v>96</v>
      </c>
      <c r="G72" s="95" t="s">
        <v>97</v>
      </c>
      <c r="H72" s="95"/>
      <c r="I72" s="95"/>
      <c r="J72" s="95"/>
      <c r="K72" s="38"/>
      <c r="L72" s="43" t="s">
        <v>98</v>
      </c>
    </row>
    <row r="73" spans="2:13" ht="102">
      <c r="B73" s="100"/>
      <c r="C73" s="37" t="s">
        <v>99</v>
      </c>
      <c r="D73" s="37" t="s">
        <v>100</v>
      </c>
      <c r="E73" s="37" t="s">
        <v>101</v>
      </c>
      <c r="F73" s="37" t="s">
        <v>102</v>
      </c>
      <c r="G73" s="95" t="s">
        <v>103</v>
      </c>
      <c r="H73" s="95"/>
      <c r="I73" s="95"/>
      <c r="J73" s="95"/>
      <c r="K73" s="38"/>
      <c r="L73" s="43" t="s">
        <v>104</v>
      </c>
    </row>
    <row r="74" spans="2:13" ht="77.5" customHeight="1">
      <c r="B74" s="96" t="s">
        <v>105</v>
      </c>
      <c r="C74" s="39" t="s">
        <v>106</v>
      </c>
      <c r="D74" s="39" t="s">
        <v>107</v>
      </c>
      <c r="E74" s="39" t="s">
        <v>89</v>
      </c>
      <c r="F74" s="39" t="s">
        <v>108</v>
      </c>
      <c r="G74" s="97" t="s">
        <v>109</v>
      </c>
      <c r="H74" s="97"/>
      <c r="I74" s="97"/>
      <c r="J74" s="97"/>
      <c r="K74" s="97"/>
      <c r="L74" s="44" t="s">
        <v>110</v>
      </c>
    </row>
    <row r="75" spans="2:13" ht="170">
      <c r="B75" s="96"/>
      <c r="C75" s="39" t="s">
        <v>111</v>
      </c>
      <c r="D75" s="39" t="s">
        <v>112</v>
      </c>
      <c r="E75" s="39" t="s">
        <v>113</v>
      </c>
      <c r="F75" s="39" t="s">
        <v>114</v>
      </c>
      <c r="G75" s="97" t="s">
        <v>115</v>
      </c>
      <c r="H75" s="97"/>
      <c r="I75" s="97"/>
      <c r="J75" s="97"/>
      <c r="K75" s="97"/>
      <c r="L75" s="44" t="s">
        <v>116</v>
      </c>
    </row>
    <row r="76" spans="2:13" ht="187">
      <c r="B76" s="63" t="s">
        <v>117</v>
      </c>
      <c r="C76" s="8" t="s">
        <v>118</v>
      </c>
      <c r="D76" s="8" t="s">
        <v>119</v>
      </c>
      <c r="E76" s="8" t="s">
        <v>120</v>
      </c>
      <c r="F76" s="8" t="s">
        <v>121</v>
      </c>
      <c r="G76" s="62" t="s">
        <v>122</v>
      </c>
      <c r="H76" s="62"/>
      <c r="I76" s="62"/>
      <c r="J76" s="62"/>
      <c r="K76" s="40"/>
      <c r="L76" s="45" t="s">
        <v>123</v>
      </c>
    </row>
    <row r="77" spans="2:13" ht="171" thickBot="1">
      <c r="B77" s="64"/>
      <c r="C77" s="46" t="s">
        <v>124</v>
      </c>
      <c r="D77" s="46" t="s">
        <v>125</v>
      </c>
      <c r="E77" s="46" t="s">
        <v>126</v>
      </c>
      <c r="F77" s="46" t="s">
        <v>127</v>
      </c>
      <c r="G77" s="65" t="s">
        <v>128</v>
      </c>
      <c r="H77" s="65"/>
      <c r="I77" s="65"/>
      <c r="J77" s="65"/>
      <c r="K77" s="47"/>
      <c r="L77" s="48" t="s">
        <v>129</v>
      </c>
    </row>
    <row r="79" spans="2:13" ht="50" customHeight="1">
      <c r="B79" s="94" t="s">
        <v>130</v>
      </c>
      <c r="C79" s="94"/>
      <c r="D79" s="94"/>
      <c r="E79" s="94"/>
      <c r="F79" s="94"/>
      <c r="G79" s="94"/>
      <c r="H79" s="94"/>
      <c r="I79" s="94"/>
      <c r="J79" s="94"/>
      <c r="K79" s="94"/>
      <c r="L79" s="94"/>
    </row>
    <row r="81" spans="2:12" ht="25" customHeight="1">
      <c r="B81" s="79" t="s">
        <v>131</v>
      </c>
      <c r="C81" s="79"/>
      <c r="D81" s="79" t="s">
        <v>132</v>
      </c>
      <c r="E81" s="79"/>
      <c r="F81" s="79"/>
      <c r="G81" s="79"/>
      <c r="H81" s="79"/>
      <c r="I81" s="79"/>
      <c r="J81" s="79"/>
      <c r="K81" s="79"/>
      <c r="L81" s="79"/>
    </row>
    <row r="82" spans="2:12" ht="35.5" customHeight="1">
      <c r="B82" s="81" t="s">
        <v>53</v>
      </c>
      <c r="C82" s="81"/>
      <c r="D82" s="67" t="s">
        <v>133</v>
      </c>
      <c r="E82" s="67"/>
      <c r="F82" s="67"/>
      <c r="G82" s="67"/>
      <c r="H82" s="67"/>
      <c r="I82" s="67"/>
      <c r="J82" s="67"/>
      <c r="K82" s="67"/>
      <c r="L82" s="67"/>
    </row>
    <row r="83" spans="2:12" ht="45.5" customHeight="1">
      <c r="B83" s="81" t="s">
        <v>288</v>
      </c>
      <c r="C83" s="81"/>
      <c r="D83" s="67" t="s">
        <v>134</v>
      </c>
      <c r="E83" s="67"/>
      <c r="F83" s="67"/>
      <c r="G83" s="67"/>
      <c r="H83" s="67"/>
      <c r="I83" s="67"/>
      <c r="J83" s="67"/>
      <c r="K83" s="67"/>
      <c r="L83" s="67"/>
    </row>
    <row r="85" spans="2:12" ht="21">
      <c r="B85" s="4" t="s">
        <v>135</v>
      </c>
    </row>
    <row r="86" spans="2:12" ht="17" thickBot="1"/>
    <row r="87" spans="2:12" ht="15.75" customHeight="1">
      <c r="B87" s="83" t="s">
        <v>55</v>
      </c>
      <c r="C87" s="85" t="s">
        <v>56</v>
      </c>
      <c r="D87" s="87" t="s">
        <v>57</v>
      </c>
      <c r="E87" s="85"/>
      <c r="F87" s="85"/>
      <c r="G87" s="85" t="s">
        <v>58</v>
      </c>
      <c r="H87" s="85"/>
      <c r="I87" s="85"/>
      <c r="J87" s="85"/>
      <c r="K87" s="85"/>
      <c r="L87" s="88"/>
    </row>
    <row r="88" spans="2:12" ht="51">
      <c r="B88" s="84"/>
      <c r="C88" s="86"/>
      <c r="D88" s="36" t="s">
        <v>59</v>
      </c>
      <c r="E88" s="36" t="s">
        <v>60</v>
      </c>
      <c r="F88" s="36" t="s">
        <v>61</v>
      </c>
      <c r="G88" s="89" t="s">
        <v>62</v>
      </c>
      <c r="H88" s="89"/>
      <c r="I88" s="89"/>
      <c r="J88" s="89"/>
      <c r="K88" s="89"/>
      <c r="L88" s="41" t="s">
        <v>63</v>
      </c>
    </row>
    <row r="89" spans="2:12" ht="171" customHeight="1">
      <c r="B89" s="90" t="s">
        <v>136</v>
      </c>
      <c r="C89" s="9" t="s">
        <v>137</v>
      </c>
      <c r="D89" s="8" t="s">
        <v>138</v>
      </c>
      <c r="E89" s="8" t="s">
        <v>139</v>
      </c>
      <c r="F89" s="8" t="s">
        <v>140</v>
      </c>
      <c r="G89" s="67" t="s">
        <v>141</v>
      </c>
      <c r="H89" s="67"/>
      <c r="I89" s="67"/>
      <c r="J89" s="67"/>
      <c r="K89" s="67"/>
      <c r="L89" s="49" t="s">
        <v>142</v>
      </c>
    </row>
    <row r="90" spans="2:12" ht="85">
      <c r="B90" s="90"/>
      <c r="C90" s="9" t="s">
        <v>137</v>
      </c>
      <c r="D90" s="9" t="s">
        <v>143</v>
      </c>
      <c r="E90" s="8" t="s">
        <v>144</v>
      </c>
      <c r="F90" s="8" t="s">
        <v>145</v>
      </c>
      <c r="G90" s="67" t="s">
        <v>146</v>
      </c>
      <c r="H90" s="67"/>
      <c r="I90" s="67"/>
      <c r="J90" s="67"/>
      <c r="K90" s="67"/>
      <c r="L90" s="50" t="s">
        <v>147</v>
      </c>
    </row>
    <row r="91" spans="2:12" ht="51">
      <c r="B91" s="90"/>
      <c r="C91" s="9" t="s">
        <v>148</v>
      </c>
      <c r="D91" s="8" t="s">
        <v>149</v>
      </c>
      <c r="E91" s="8" t="s">
        <v>150</v>
      </c>
      <c r="F91" s="8" t="s">
        <v>151</v>
      </c>
      <c r="G91" s="67" t="s">
        <v>152</v>
      </c>
      <c r="H91" s="67"/>
      <c r="I91" s="67"/>
      <c r="J91" s="67"/>
      <c r="K91" s="67"/>
      <c r="L91" s="50" t="s">
        <v>153</v>
      </c>
    </row>
    <row r="92" spans="2:12" ht="107.5" customHeight="1">
      <c r="B92" s="90"/>
      <c r="C92" s="40" t="s">
        <v>154</v>
      </c>
      <c r="D92" s="8" t="s">
        <v>155</v>
      </c>
      <c r="E92" s="8" t="s">
        <v>156</v>
      </c>
      <c r="F92" s="8" t="s">
        <v>157</v>
      </c>
      <c r="G92" s="67" t="s">
        <v>158</v>
      </c>
      <c r="H92" s="67"/>
      <c r="I92" s="67"/>
      <c r="J92" s="67"/>
      <c r="K92" s="67"/>
      <c r="L92" s="49" t="s">
        <v>159</v>
      </c>
    </row>
    <row r="93" spans="2:12" ht="136">
      <c r="B93" s="53" t="s">
        <v>105</v>
      </c>
      <c r="C93" s="40" t="s">
        <v>160</v>
      </c>
      <c r="D93" s="8" t="s">
        <v>161</v>
      </c>
      <c r="E93" s="8" t="s">
        <v>162</v>
      </c>
      <c r="F93" s="8" t="s">
        <v>163</v>
      </c>
      <c r="G93" s="67" t="s">
        <v>164</v>
      </c>
      <c r="H93" s="67"/>
      <c r="I93" s="67"/>
      <c r="J93" s="67"/>
      <c r="K93" s="67"/>
      <c r="L93" s="49" t="s">
        <v>165</v>
      </c>
    </row>
    <row r="94" spans="2:12" ht="77.5" customHeight="1">
      <c r="B94" s="90" t="s">
        <v>166</v>
      </c>
      <c r="C94" s="9" t="s">
        <v>167</v>
      </c>
      <c r="D94" s="8" t="s">
        <v>168</v>
      </c>
      <c r="E94" s="8" t="s">
        <v>169</v>
      </c>
      <c r="F94" s="8" t="s">
        <v>170</v>
      </c>
      <c r="G94" s="67" t="s">
        <v>171</v>
      </c>
      <c r="H94" s="67"/>
      <c r="I94" s="67"/>
      <c r="J94" s="67"/>
      <c r="K94" s="67"/>
      <c r="L94" s="49" t="s">
        <v>172</v>
      </c>
    </row>
    <row r="95" spans="2:12" ht="78" customHeight="1" thickBot="1">
      <c r="B95" s="91"/>
      <c r="C95" s="51"/>
      <c r="D95" s="46" t="s">
        <v>173</v>
      </c>
      <c r="E95" s="46" t="s">
        <v>169</v>
      </c>
      <c r="F95" s="46" t="s">
        <v>174</v>
      </c>
      <c r="G95" s="92" t="s">
        <v>175</v>
      </c>
      <c r="H95" s="92"/>
      <c r="I95" s="92"/>
      <c r="J95" s="92"/>
      <c r="K95" s="92"/>
      <c r="L95" s="52" t="s">
        <v>172</v>
      </c>
    </row>
    <row r="98" spans="2:12" ht="21">
      <c r="B98" s="10" t="s">
        <v>176</v>
      </c>
    </row>
    <row r="99" spans="2:12">
      <c r="B99" s="11"/>
      <c r="C99" s="12"/>
    </row>
    <row r="100" spans="2:12" ht="59.25" customHeight="1">
      <c r="B100" s="78" t="s">
        <v>131</v>
      </c>
      <c r="C100" s="78"/>
      <c r="D100" s="93" t="s">
        <v>177</v>
      </c>
      <c r="E100" s="93"/>
      <c r="F100" s="93"/>
      <c r="G100" s="93"/>
      <c r="H100" s="93"/>
      <c r="I100" s="93"/>
      <c r="J100" s="93"/>
      <c r="K100" s="93"/>
      <c r="L100" s="93"/>
    </row>
    <row r="101" spans="2:12" ht="44.5" customHeight="1">
      <c r="B101" s="81" t="s">
        <v>53</v>
      </c>
      <c r="C101" s="81"/>
      <c r="D101" s="67" t="s">
        <v>178</v>
      </c>
      <c r="E101" s="67"/>
      <c r="F101" s="67"/>
      <c r="G101" s="67"/>
      <c r="H101" s="67"/>
      <c r="I101" s="67"/>
      <c r="J101" s="67"/>
      <c r="K101" s="67"/>
      <c r="L101" s="67"/>
    </row>
    <row r="102" spans="2:12" ht="40" customHeight="1">
      <c r="B102" s="81" t="s">
        <v>289</v>
      </c>
      <c r="C102" s="81"/>
      <c r="D102" s="82">
        <v>0.61</v>
      </c>
      <c r="E102" s="82"/>
      <c r="F102" s="82"/>
      <c r="G102" s="82"/>
      <c r="H102" s="82"/>
      <c r="I102" s="82"/>
      <c r="J102" s="82"/>
      <c r="K102" s="82"/>
      <c r="L102" s="82"/>
    </row>
    <row r="103" spans="2:12">
      <c r="B103" s="11"/>
      <c r="C103" s="12"/>
    </row>
    <row r="105" spans="2:12" ht="21">
      <c r="B105" s="4" t="s">
        <v>179</v>
      </c>
    </row>
    <row r="106" spans="2:12" ht="17" thickBot="1"/>
    <row r="107" spans="2:12" ht="33" customHeight="1">
      <c r="B107" s="83" t="s">
        <v>55</v>
      </c>
      <c r="C107" s="85" t="s">
        <v>56</v>
      </c>
      <c r="D107" s="87" t="s">
        <v>57</v>
      </c>
      <c r="E107" s="85"/>
      <c r="F107" s="85"/>
      <c r="G107" s="85" t="s">
        <v>58</v>
      </c>
      <c r="H107" s="85"/>
      <c r="I107" s="85"/>
      <c r="J107" s="85"/>
      <c r="K107" s="85"/>
      <c r="L107" s="88"/>
    </row>
    <row r="108" spans="2:12" ht="51">
      <c r="B108" s="84"/>
      <c r="C108" s="86"/>
      <c r="D108" s="36" t="s">
        <v>59</v>
      </c>
      <c r="E108" s="36" t="s">
        <v>60</v>
      </c>
      <c r="F108" s="36" t="s">
        <v>61</v>
      </c>
      <c r="G108" s="89" t="s">
        <v>62</v>
      </c>
      <c r="H108" s="89"/>
      <c r="I108" s="89"/>
      <c r="J108" s="89"/>
      <c r="K108" s="89"/>
      <c r="L108" s="41" t="s">
        <v>63</v>
      </c>
    </row>
    <row r="109" spans="2:12" ht="138" customHeight="1">
      <c r="B109" s="61" t="s">
        <v>64</v>
      </c>
      <c r="C109" s="40" t="s">
        <v>180</v>
      </c>
      <c r="D109" s="8" t="s">
        <v>181</v>
      </c>
      <c r="E109" s="8" t="s">
        <v>182</v>
      </c>
      <c r="F109" s="8" t="s">
        <v>183</v>
      </c>
      <c r="G109" s="62" t="s">
        <v>184</v>
      </c>
      <c r="H109" s="62"/>
      <c r="I109" s="62"/>
      <c r="J109" s="62"/>
      <c r="K109" s="62"/>
      <c r="L109" s="45" t="s">
        <v>185</v>
      </c>
    </row>
    <row r="110" spans="2:12" ht="78.75" customHeight="1">
      <c r="B110" s="61"/>
      <c r="C110" s="62" t="s">
        <v>186</v>
      </c>
      <c r="D110" s="8" t="s">
        <v>187</v>
      </c>
      <c r="E110" s="8" t="s">
        <v>188</v>
      </c>
      <c r="F110" s="8" t="s">
        <v>189</v>
      </c>
      <c r="G110" s="62" t="s">
        <v>190</v>
      </c>
      <c r="H110" s="62"/>
      <c r="I110" s="62"/>
      <c r="J110" s="62"/>
      <c r="K110" s="40"/>
      <c r="L110" s="45" t="s">
        <v>191</v>
      </c>
    </row>
    <row r="111" spans="2:12" ht="147" customHeight="1">
      <c r="B111" s="61"/>
      <c r="C111" s="62"/>
      <c r="D111" s="8" t="s">
        <v>192</v>
      </c>
      <c r="E111" s="8" t="s">
        <v>193</v>
      </c>
      <c r="F111" s="8" t="s">
        <v>194</v>
      </c>
      <c r="G111" s="62"/>
      <c r="H111" s="62"/>
      <c r="I111" s="62"/>
      <c r="J111" s="62"/>
      <c r="K111" s="40"/>
      <c r="L111" s="45" t="s">
        <v>191</v>
      </c>
    </row>
    <row r="112" spans="2:12" ht="78.75" customHeight="1">
      <c r="B112" s="61"/>
      <c r="C112" s="8" t="s">
        <v>195</v>
      </c>
      <c r="D112" s="8" t="s">
        <v>196</v>
      </c>
      <c r="E112" s="8" t="s">
        <v>197</v>
      </c>
      <c r="F112" s="8" t="s">
        <v>198</v>
      </c>
      <c r="G112" s="62" t="s">
        <v>199</v>
      </c>
      <c r="H112" s="62"/>
      <c r="I112" s="62"/>
      <c r="J112" s="62"/>
      <c r="K112" s="62"/>
      <c r="L112" s="45" t="s">
        <v>191</v>
      </c>
    </row>
    <row r="113" spans="2:12" ht="145" customHeight="1">
      <c r="B113" s="61" t="s">
        <v>105</v>
      </c>
      <c r="C113" s="8" t="s">
        <v>200</v>
      </c>
      <c r="D113" s="8" t="s">
        <v>201</v>
      </c>
      <c r="E113" s="8" t="s">
        <v>202</v>
      </c>
      <c r="F113" s="8" t="s">
        <v>203</v>
      </c>
      <c r="G113" s="62" t="s">
        <v>204</v>
      </c>
      <c r="H113" s="62"/>
      <c r="I113" s="62"/>
      <c r="J113" s="62"/>
      <c r="K113" s="62"/>
      <c r="L113" s="45" t="s">
        <v>205</v>
      </c>
    </row>
    <row r="114" spans="2:12" ht="204.75" customHeight="1">
      <c r="B114" s="61"/>
      <c r="C114" s="8" t="s">
        <v>206</v>
      </c>
      <c r="D114" s="8" t="s">
        <v>207</v>
      </c>
      <c r="E114" s="8" t="s">
        <v>208</v>
      </c>
      <c r="F114" s="8" t="s">
        <v>209</v>
      </c>
      <c r="G114" s="62" t="s">
        <v>210</v>
      </c>
      <c r="H114" s="62"/>
      <c r="I114" s="62"/>
      <c r="J114" s="62"/>
      <c r="K114" s="54"/>
      <c r="L114" s="45" t="s">
        <v>211</v>
      </c>
    </row>
    <row r="115" spans="2:12" ht="113.5" customHeight="1">
      <c r="B115" s="61"/>
      <c r="C115" s="8" t="s">
        <v>212</v>
      </c>
      <c r="D115" s="8" t="s">
        <v>213</v>
      </c>
      <c r="E115" s="40" t="s">
        <v>202</v>
      </c>
      <c r="F115" s="40" t="s">
        <v>214</v>
      </c>
      <c r="G115" s="62" t="s">
        <v>204</v>
      </c>
      <c r="H115" s="62"/>
      <c r="I115" s="62"/>
      <c r="J115" s="62"/>
      <c r="K115" s="62"/>
      <c r="L115" s="45" t="s">
        <v>205</v>
      </c>
    </row>
    <row r="116" spans="2:12" ht="180.5" customHeight="1" thickBot="1">
      <c r="B116" s="55" t="s">
        <v>215</v>
      </c>
      <c r="C116" s="46" t="s">
        <v>216</v>
      </c>
      <c r="D116" s="46" t="s">
        <v>217</v>
      </c>
      <c r="E116" s="46" t="s">
        <v>218</v>
      </c>
      <c r="F116" s="47" t="s">
        <v>219</v>
      </c>
      <c r="G116" s="65" t="s">
        <v>220</v>
      </c>
      <c r="H116" s="65"/>
      <c r="I116" s="65"/>
      <c r="J116" s="65"/>
      <c r="K116" s="65"/>
      <c r="L116" s="48" t="s">
        <v>221</v>
      </c>
    </row>
    <row r="117" spans="2:12">
      <c r="B117" s="13"/>
      <c r="C117" s="13"/>
      <c r="D117" s="13"/>
      <c r="E117" s="14"/>
      <c r="F117" s="14"/>
      <c r="G117" s="13"/>
      <c r="H117" s="13"/>
      <c r="I117" s="13"/>
      <c r="J117" s="13"/>
      <c r="K117" s="13"/>
      <c r="L117" s="13"/>
    </row>
    <row r="118" spans="2:12">
      <c r="B118" s="13"/>
      <c r="C118" s="13"/>
      <c r="D118" s="13"/>
      <c r="E118" s="14"/>
      <c r="F118" s="14"/>
      <c r="G118" s="13"/>
      <c r="H118" s="13"/>
      <c r="I118" s="13"/>
      <c r="J118" s="13"/>
      <c r="K118" s="13"/>
      <c r="L118" s="13"/>
    </row>
    <row r="119" spans="2:12" ht="20.25" customHeight="1">
      <c r="B119" s="80" t="s">
        <v>222</v>
      </c>
      <c r="C119" s="80"/>
      <c r="D119" s="80"/>
      <c r="E119" s="80"/>
      <c r="F119" s="80"/>
      <c r="G119" s="80"/>
      <c r="H119" s="80"/>
      <c r="I119" s="80"/>
      <c r="J119" s="80"/>
      <c r="K119" s="80"/>
      <c r="L119" s="80"/>
    </row>
    <row r="120" spans="2:12">
      <c r="B120" s="13"/>
      <c r="C120" s="13"/>
      <c r="D120" s="13"/>
      <c r="E120" s="14"/>
      <c r="F120" s="14"/>
      <c r="G120" s="13"/>
      <c r="H120" s="13"/>
      <c r="I120" s="13"/>
      <c r="J120" s="13"/>
      <c r="K120" s="13"/>
      <c r="L120" s="13"/>
    </row>
    <row r="121" spans="2:12" ht="35" customHeight="1">
      <c r="B121" s="78" t="s">
        <v>131</v>
      </c>
      <c r="C121" s="78"/>
      <c r="D121" s="79" t="s">
        <v>223</v>
      </c>
      <c r="E121" s="79"/>
      <c r="F121" s="79"/>
      <c r="G121" s="79"/>
      <c r="H121" s="79"/>
      <c r="I121" s="79"/>
      <c r="J121" s="79"/>
      <c r="K121" s="79"/>
      <c r="L121" s="79"/>
    </row>
    <row r="122" spans="2:12" ht="32" customHeight="1">
      <c r="B122" s="78" t="s">
        <v>53</v>
      </c>
      <c r="C122" s="78"/>
      <c r="D122" s="79" t="s">
        <v>224</v>
      </c>
      <c r="E122" s="79"/>
      <c r="F122" s="79"/>
      <c r="G122" s="79"/>
      <c r="H122" s="79"/>
      <c r="I122" s="79"/>
      <c r="J122" s="79"/>
      <c r="K122" s="79"/>
      <c r="L122" s="79"/>
    </row>
    <row r="123" spans="2:12" ht="15.75" customHeight="1">
      <c r="B123" s="69" t="s">
        <v>225</v>
      </c>
      <c r="C123" s="69"/>
      <c r="D123" s="70" t="s">
        <v>226</v>
      </c>
      <c r="E123" s="70"/>
      <c r="F123" s="70"/>
      <c r="G123" s="70"/>
      <c r="H123" s="70"/>
      <c r="I123" s="70"/>
      <c r="J123" s="70"/>
      <c r="K123" s="70"/>
      <c r="L123" s="70"/>
    </row>
    <row r="124" spans="2:12" ht="15.75" customHeight="1">
      <c r="B124" s="69" t="s">
        <v>227</v>
      </c>
      <c r="C124" s="69"/>
      <c r="D124" s="70" t="s">
        <v>228</v>
      </c>
      <c r="E124" s="70"/>
      <c r="F124" s="70"/>
      <c r="G124" s="70"/>
      <c r="H124" s="70"/>
      <c r="I124" s="70"/>
      <c r="J124" s="70"/>
      <c r="K124" s="70"/>
      <c r="L124" s="70"/>
    </row>
    <row r="125" spans="2:12" ht="15.75" customHeight="1">
      <c r="B125" s="69" t="s">
        <v>229</v>
      </c>
      <c r="C125" s="69"/>
      <c r="D125" s="70" t="s">
        <v>230</v>
      </c>
      <c r="E125" s="70"/>
      <c r="F125" s="70"/>
      <c r="G125" s="70"/>
      <c r="H125" s="70"/>
      <c r="I125" s="70"/>
      <c r="J125" s="70"/>
      <c r="K125" s="70"/>
      <c r="L125" s="70"/>
    </row>
    <row r="126" spans="2:12">
      <c r="B126" s="13"/>
      <c r="C126" s="13"/>
      <c r="D126" s="13"/>
      <c r="E126" s="14"/>
      <c r="F126" s="14"/>
      <c r="G126" s="13"/>
      <c r="H126" s="13"/>
      <c r="I126" s="13"/>
      <c r="J126" s="13"/>
      <c r="K126" s="13"/>
      <c r="L126" s="13"/>
    </row>
    <row r="127" spans="2:12" ht="21">
      <c r="B127" s="15" t="s">
        <v>231</v>
      </c>
      <c r="C127" s="13"/>
      <c r="D127" s="13"/>
      <c r="E127" s="14"/>
      <c r="F127" s="14"/>
      <c r="G127" s="13"/>
      <c r="H127" s="13"/>
      <c r="I127" s="13"/>
      <c r="J127" s="13"/>
      <c r="K127" s="13"/>
      <c r="L127" s="13"/>
    </row>
    <row r="128" spans="2:12" ht="17" thickBot="1">
      <c r="B128" s="13"/>
      <c r="C128" s="13"/>
      <c r="D128" s="13"/>
      <c r="E128" s="14"/>
      <c r="F128" s="14"/>
      <c r="G128" s="13"/>
      <c r="H128" s="13"/>
      <c r="I128" s="13"/>
      <c r="J128" s="13"/>
      <c r="K128" s="13"/>
      <c r="L128" s="13"/>
    </row>
    <row r="129" spans="2:13" ht="15.75" customHeight="1">
      <c r="B129" s="71" t="s">
        <v>55</v>
      </c>
      <c r="C129" s="73" t="s">
        <v>56</v>
      </c>
      <c r="D129" s="75" t="s">
        <v>57</v>
      </c>
      <c r="E129" s="73"/>
      <c r="F129" s="73"/>
      <c r="G129" s="73" t="s">
        <v>58</v>
      </c>
      <c r="H129" s="73"/>
      <c r="I129" s="73"/>
      <c r="J129" s="73"/>
      <c r="K129" s="73"/>
      <c r="L129" s="76"/>
    </row>
    <row r="130" spans="2:13" ht="51">
      <c r="B130" s="72"/>
      <c r="C130" s="74"/>
      <c r="D130" s="56" t="s">
        <v>59</v>
      </c>
      <c r="E130" s="56" t="s">
        <v>60</v>
      </c>
      <c r="F130" s="56" t="s">
        <v>61</v>
      </c>
      <c r="G130" s="77" t="s">
        <v>62</v>
      </c>
      <c r="H130" s="77"/>
      <c r="I130" s="77"/>
      <c r="J130" s="77"/>
      <c r="K130" s="77"/>
      <c r="L130" s="58" t="s">
        <v>63</v>
      </c>
      <c r="M130" s="16"/>
    </row>
    <row r="131" spans="2:13" ht="140.25" customHeight="1">
      <c r="B131" s="61" t="s">
        <v>64</v>
      </c>
      <c r="C131" s="66" t="s">
        <v>232</v>
      </c>
      <c r="D131" s="8" t="s">
        <v>233</v>
      </c>
      <c r="E131" s="8" t="s">
        <v>234</v>
      </c>
      <c r="F131" s="8" t="s">
        <v>235</v>
      </c>
      <c r="G131" s="67" t="s">
        <v>236</v>
      </c>
      <c r="H131" s="67"/>
      <c r="I131" s="67"/>
      <c r="J131" s="67"/>
      <c r="K131" s="67"/>
      <c r="L131" s="49" t="s">
        <v>237</v>
      </c>
    </row>
    <row r="132" spans="2:13" ht="141.75" customHeight="1">
      <c r="B132" s="61"/>
      <c r="C132" s="66"/>
      <c r="D132" s="9" t="s">
        <v>238</v>
      </c>
      <c r="E132" s="8" t="s">
        <v>239</v>
      </c>
      <c r="F132" s="8" t="s">
        <v>240</v>
      </c>
      <c r="G132" s="67" t="s">
        <v>241</v>
      </c>
      <c r="H132" s="67"/>
      <c r="I132" s="67"/>
      <c r="J132" s="67"/>
      <c r="K132" s="40"/>
      <c r="L132" s="59" t="s">
        <v>242</v>
      </c>
    </row>
    <row r="133" spans="2:13" ht="155.25" customHeight="1">
      <c r="B133" s="61"/>
      <c r="C133" s="8" t="s">
        <v>243</v>
      </c>
      <c r="D133" s="8" t="s">
        <v>244</v>
      </c>
      <c r="E133" s="8" t="s">
        <v>245</v>
      </c>
      <c r="F133" s="8" t="s">
        <v>246</v>
      </c>
      <c r="G133" s="62" t="s">
        <v>247</v>
      </c>
      <c r="H133" s="62"/>
      <c r="I133" s="62"/>
      <c r="J133" s="62"/>
      <c r="K133" s="62"/>
      <c r="L133" s="59" t="s">
        <v>248</v>
      </c>
    </row>
    <row r="134" spans="2:13" ht="139.5" customHeight="1">
      <c r="B134" s="61"/>
      <c r="C134" s="8" t="s">
        <v>249</v>
      </c>
      <c r="D134" s="8" t="s">
        <v>250</v>
      </c>
      <c r="E134" s="8" t="s">
        <v>251</v>
      </c>
      <c r="F134" s="8" t="s">
        <v>252</v>
      </c>
      <c r="G134" s="62" t="s">
        <v>247</v>
      </c>
      <c r="H134" s="68"/>
      <c r="I134" s="68"/>
      <c r="J134" s="68"/>
      <c r="K134" s="68"/>
      <c r="L134" s="59" t="s">
        <v>290</v>
      </c>
    </row>
    <row r="135" spans="2:13" ht="238">
      <c r="B135" s="61"/>
      <c r="C135" s="8" t="s">
        <v>253</v>
      </c>
      <c r="D135" s="8" t="s">
        <v>254</v>
      </c>
      <c r="E135" s="8" t="s">
        <v>251</v>
      </c>
      <c r="F135" s="8" t="s">
        <v>255</v>
      </c>
      <c r="G135" s="68" t="s">
        <v>256</v>
      </c>
      <c r="H135" s="68"/>
      <c r="I135" s="68"/>
      <c r="J135" s="68"/>
      <c r="K135" s="68"/>
      <c r="L135" s="59" t="s">
        <v>257</v>
      </c>
      <c r="M135" s="17"/>
    </row>
    <row r="136" spans="2:13" ht="108.75" customHeight="1">
      <c r="B136" s="61" t="s">
        <v>105</v>
      </c>
      <c r="C136" s="8" t="s">
        <v>258</v>
      </c>
      <c r="D136" s="8" t="s">
        <v>259</v>
      </c>
      <c r="E136" s="8" t="s">
        <v>260</v>
      </c>
      <c r="F136" s="8" t="s">
        <v>261</v>
      </c>
      <c r="G136" s="62" t="s">
        <v>262</v>
      </c>
      <c r="H136" s="62"/>
      <c r="I136" s="62"/>
      <c r="J136" s="62"/>
      <c r="K136" s="62"/>
      <c r="L136" s="59" t="s">
        <v>263</v>
      </c>
      <c r="M136" s="17"/>
    </row>
    <row r="137" spans="2:13" ht="136">
      <c r="B137" s="61"/>
      <c r="C137" s="8" t="s">
        <v>264</v>
      </c>
      <c r="D137" s="8" t="s">
        <v>265</v>
      </c>
      <c r="E137" s="8" t="s">
        <v>266</v>
      </c>
      <c r="F137" s="8" t="s">
        <v>267</v>
      </c>
      <c r="G137" s="62" t="s">
        <v>268</v>
      </c>
      <c r="H137" s="62"/>
      <c r="I137" s="62"/>
      <c r="J137" s="62"/>
      <c r="K137" s="62"/>
      <c r="L137" s="59" t="s">
        <v>269</v>
      </c>
      <c r="M137" s="17"/>
    </row>
    <row r="138" spans="2:13" ht="170">
      <c r="B138" s="61"/>
      <c r="C138" s="8" t="s">
        <v>270</v>
      </c>
      <c r="D138" s="8" t="s">
        <v>271</v>
      </c>
      <c r="E138" s="8" t="s">
        <v>10</v>
      </c>
      <c r="F138" s="8" t="s">
        <v>272</v>
      </c>
      <c r="G138" s="62" t="s">
        <v>273</v>
      </c>
      <c r="H138" s="62"/>
      <c r="I138" s="62"/>
      <c r="J138" s="62"/>
      <c r="K138" s="62"/>
      <c r="L138" s="59" t="s">
        <v>291</v>
      </c>
      <c r="M138" s="17"/>
    </row>
    <row r="139" spans="2:13" ht="112" customHeight="1">
      <c r="B139" s="63" t="s">
        <v>215</v>
      </c>
      <c r="C139" s="8" t="s">
        <v>274</v>
      </c>
      <c r="D139" s="8" t="s">
        <v>275</v>
      </c>
      <c r="E139" s="8" t="s">
        <v>276</v>
      </c>
      <c r="F139" s="8" t="s">
        <v>277</v>
      </c>
      <c r="G139" s="62" t="s">
        <v>278</v>
      </c>
      <c r="H139" s="62"/>
      <c r="I139" s="62"/>
      <c r="J139" s="62"/>
      <c r="K139" s="40"/>
      <c r="L139" s="59" t="s">
        <v>279</v>
      </c>
      <c r="M139" s="17"/>
    </row>
    <row r="140" spans="2:13" ht="171" thickBot="1">
      <c r="B140" s="64"/>
      <c r="C140" s="46" t="s">
        <v>280</v>
      </c>
      <c r="D140" s="46" t="s">
        <v>281</v>
      </c>
      <c r="E140" s="46" t="s">
        <v>282</v>
      </c>
      <c r="F140" s="46" t="s">
        <v>283</v>
      </c>
      <c r="G140" s="65" t="s">
        <v>284</v>
      </c>
      <c r="H140" s="65"/>
      <c r="I140" s="65"/>
      <c r="J140" s="65"/>
      <c r="K140" s="65"/>
      <c r="L140" s="60" t="s">
        <v>285</v>
      </c>
      <c r="M140" s="17"/>
    </row>
  </sheetData>
  <mergeCells count="150">
    <mergeCell ref="B3:L3"/>
    <mergeCell ref="B4:L4"/>
    <mergeCell ref="B9:C9"/>
    <mergeCell ref="D9:L9"/>
    <mergeCell ref="B10:C12"/>
    <mergeCell ref="D10:L10"/>
    <mergeCell ref="D11:L11"/>
    <mergeCell ref="D12:L12"/>
    <mergeCell ref="B5:L5"/>
    <mergeCell ref="H17:H18"/>
    <mergeCell ref="I17:I18"/>
    <mergeCell ref="J17:K18"/>
    <mergeCell ref="L17:L18"/>
    <mergeCell ref="B19:B46"/>
    <mergeCell ref="J19:K19"/>
    <mergeCell ref="J20:K20"/>
    <mergeCell ref="J21:K21"/>
    <mergeCell ref="J22:K22"/>
    <mergeCell ref="J23:K23"/>
    <mergeCell ref="B16:B18"/>
    <mergeCell ref="C16:C18"/>
    <mergeCell ref="D16:E16"/>
    <mergeCell ref="F16:G16"/>
    <mergeCell ref="H16:I16"/>
    <mergeCell ref="J16:L16"/>
    <mergeCell ref="D17:D18"/>
    <mergeCell ref="E17:E18"/>
    <mergeCell ref="F17:F18"/>
    <mergeCell ref="G17:G18"/>
    <mergeCell ref="J31:K31"/>
    <mergeCell ref="J32:K32"/>
    <mergeCell ref="J33:K33"/>
    <mergeCell ref="J34:K34"/>
    <mergeCell ref="J35:K35"/>
    <mergeCell ref="J36:K36"/>
    <mergeCell ref="J24:K24"/>
    <mergeCell ref="J25:K25"/>
    <mergeCell ref="J26:K26"/>
    <mergeCell ref="J27:K27"/>
    <mergeCell ref="J28:K28"/>
    <mergeCell ref="J30:K30"/>
    <mergeCell ref="J43:K43"/>
    <mergeCell ref="J44:K44"/>
    <mergeCell ref="J45:K45"/>
    <mergeCell ref="J46:K46"/>
    <mergeCell ref="B51:L51"/>
    <mergeCell ref="B55:L55"/>
    <mergeCell ref="J37:K37"/>
    <mergeCell ref="J38:K38"/>
    <mergeCell ref="J39:K39"/>
    <mergeCell ref="J40:K40"/>
    <mergeCell ref="J41:K41"/>
    <mergeCell ref="J42:K42"/>
    <mergeCell ref="B65:B66"/>
    <mergeCell ref="C65:C66"/>
    <mergeCell ref="D65:F65"/>
    <mergeCell ref="G65:L65"/>
    <mergeCell ref="G66:K66"/>
    <mergeCell ref="B59:C59"/>
    <mergeCell ref="D59:L59"/>
    <mergeCell ref="B60:C60"/>
    <mergeCell ref="D60:L60"/>
    <mergeCell ref="B61:C61"/>
    <mergeCell ref="D61:L61"/>
    <mergeCell ref="G72:J72"/>
    <mergeCell ref="G73:J73"/>
    <mergeCell ref="B74:B75"/>
    <mergeCell ref="G74:K74"/>
    <mergeCell ref="G75:K75"/>
    <mergeCell ref="B76:B77"/>
    <mergeCell ref="G76:J76"/>
    <mergeCell ref="G77:J77"/>
    <mergeCell ref="B67:B73"/>
    <mergeCell ref="G67:J67"/>
    <mergeCell ref="G68:K68"/>
    <mergeCell ref="G69:K69"/>
    <mergeCell ref="G70:J70"/>
    <mergeCell ref="G71:K71"/>
    <mergeCell ref="B87:B88"/>
    <mergeCell ref="C87:C88"/>
    <mergeCell ref="D87:F87"/>
    <mergeCell ref="G87:L87"/>
    <mergeCell ref="G88:K88"/>
    <mergeCell ref="B79:L79"/>
    <mergeCell ref="B81:C81"/>
    <mergeCell ref="D81:L81"/>
    <mergeCell ref="B82:C82"/>
    <mergeCell ref="D82:L82"/>
    <mergeCell ref="B83:C83"/>
    <mergeCell ref="D83:L83"/>
    <mergeCell ref="B94:B95"/>
    <mergeCell ref="G94:K94"/>
    <mergeCell ref="G95:K95"/>
    <mergeCell ref="B100:C100"/>
    <mergeCell ref="D100:L100"/>
    <mergeCell ref="B101:C101"/>
    <mergeCell ref="D101:L101"/>
    <mergeCell ref="B89:B92"/>
    <mergeCell ref="G89:K89"/>
    <mergeCell ref="G90:K90"/>
    <mergeCell ref="G91:K91"/>
    <mergeCell ref="G92:K92"/>
    <mergeCell ref="G93:K93"/>
    <mergeCell ref="B109:B112"/>
    <mergeCell ref="G109:K109"/>
    <mergeCell ref="C110:C111"/>
    <mergeCell ref="G110:J111"/>
    <mergeCell ref="G112:K112"/>
    <mergeCell ref="B102:C102"/>
    <mergeCell ref="D102:L102"/>
    <mergeCell ref="B107:B108"/>
    <mergeCell ref="C107:C108"/>
    <mergeCell ref="D107:F107"/>
    <mergeCell ref="G107:L107"/>
    <mergeCell ref="G108:K108"/>
    <mergeCell ref="B121:C121"/>
    <mergeCell ref="D121:L121"/>
    <mergeCell ref="B122:C122"/>
    <mergeCell ref="D122:L122"/>
    <mergeCell ref="B123:C123"/>
    <mergeCell ref="D123:L123"/>
    <mergeCell ref="B113:B115"/>
    <mergeCell ref="G113:K113"/>
    <mergeCell ref="G114:J114"/>
    <mergeCell ref="G115:K115"/>
    <mergeCell ref="G116:K116"/>
    <mergeCell ref="B119:L119"/>
    <mergeCell ref="B124:C124"/>
    <mergeCell ref="D124:L124"/>
    <mergeCell ref="B125:C125"/>
    <mergeCell ref="D125:L125"/>
    <mergeCell ref="B129:B130"/>
    <mergeCell ref="C129:C130"/>
    <mergeCell ref="D129:F129"/>
    <mergeCell ref="G129:L129"/>
    <mergeCell ref="G130:K130"/>
    <mergeCell ref="B136:B138"/>
    <mergeCell ref="G136:K136"/>
    <mergeCell ref="G137:K137"/>
    <mergeCell ref="G138:K138"/>
    <mergeCell ref="B139:B140"/>
    <mergeCell ref="G139:J139"/>
    <mergeCell ref="G140:K140"/>
    <mergeCell ref="B131:B135"/>
    <mergeCell ref="C131:C132"/>
    <mergeCell ref="G131:K131"/>
    <mergeCell ref="G132:J132"/>
    <mergeCell ref="G133:K133"/>
    <mergeCell ref="G134:K134"/>
    <mergeCell ref="G135:K1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6567-704C-504C-82A6-457BE278D892}">
  <sheetPr>
    <tabColor rgb="FF002060"/>
  </sheetPr>
  <dimension ref="B2:O49"/>
  <sheetViews>
    <sheetView showGridLines="0" workbookViewId="0">
      <selection sqref="A1:XFD1048576"/>
    </sheetView>
  </sheetViews>
  <sheetFormatPr baseColWidth="10" defaultColWidth="10.6640625" defaultRowHeight="16"/>
  <cols>
    <col min="2" max="2" width="13.6640625" customWidth="1"/>
    <col min="3" max="3" width="21.1640625" customWidth="1"/>
    <col min="4" max="4" width="61.33203125" style="147" customWidth="1"/>
    <col min="5" max="5" width="14.83203125" style="143" customWidth="1"/>
    <col min="6" max="6" width="11" style="143" customWidth="1"/>
    <col min="7" max="7" width="10.1640625" style="143" customWidth="1"/>
    <col min="8" max="8" width="11.1640625" style="143" customWidth="1"/>
    <col min="9" max="10" width="12" style="143" customWidth="1"/>
    <col min="11" max="13" width="16" style="143" customWidth="1"/>
    <col min="14" max="14" width="21.83203125" style="143" customWidth="1"/>
    <col min="15" max="15" width="30.33203125" style="144" customWidth="1"/>
  </cols>
  <sheetData>
    <row r="2" spans="2:15" ht="37">
      <c r="B2" s="142" t="s">
        <v>292</v>
      </c>
      <c r="C2" s="142"/>
      <c r="D2" s="142"/>
    </row>
    <row r="3" spans="2:15" ht="24">
      <c r="B3" s="145" t="s">
        <v>293</v>
      </c>
      <c r="C3" s="145"/>
      <c r="D3" s="145"/>
    </row>
    <row r="5" spans="2:15" ht="21">
      <c r="B5" s="146" t="s">
        <v>294</v>
      </c>
      <c r="C5" s="146"/>
      <c r="D5" s="146"/>
    </row>
    <row r="6" spans="2:15" ht="17" thickBot="1"/>
    <row r="7" spans="2:15" s="147" customFormat="1" ht="37" customHeight="1">
      <c r="C7" s="148" t="s">
        <v>295</v>
      </c>
      <c r="D7" s="149" t="s">
        <v>296</v>
      </c>
      <c r="E7" s="149" t="s">
        <v>297</v>
      </c>
      <c r="F7" s="150"/>
      <c r="G7" s="150"/>
      <c r="H7" s="150"/>
      <c r="I7" s="151"/>
      <c r="J7" s="152" t="s">
        <v>298</v>
      </c>
      <c r="K7" s="152" t="s">
        <v>299</v>
      </c>
      <c r="L7" s="152" t="s">
        <v>300</v>
      </c>
      <c r="M7" s="153" t="s">
        <v>301</v>
      </c>
      <c r="N7" s="154" t="s">
        <v>302</v>
      </c>
      <c r="O7" s="154" t="s">
        <v>303</v>
      </c>
    </row>
    <row r="8" spans="2:15" s="155" customFormat="1" ht="40" thickBot="1">
      <c r="C8" s="156"/>
      <c r="D8" s="157"/>
      <c r="E8" s="158" t="s">
        <v>304</v>
      </c>
      <c r="F8" s="159" t="s">
        <v>305</v>
      </c>
      <c r="G8" s="159" t="s">
        <v>306</v>
      </c>
      <c r="H8" s="160" t="s">
        <v>307</v>
      </c>
      <c r="I8" s="160" t="s">
        <v>308</v>
      </c>
      <c r="J8" s="161"/>
      <c r="K8" s="161"/>
      <c r="L8" s="161"/>
      <c r="M8" s="162"/>
      <c r="N8" s="163"/>
      <c r="O8" s="163"/>
    </row>
    <row r="9" spans="2:15" ht="17">
      <c r="B9" s="164" t="s">
        <v>309</v>
      </c>
      <c r="C9" s="165" t="s">
        <v>136</v>
      </c>
      <c r="D9" s="166" t="s">
        <v>66</v>
      </c>
      <c r="E9" s="167"/>
      <c r="F9" s="167"/>
      <c r="G9" s="167">
        <v>389515.84429249377</v>
      </c>
      <c r="H9" s="167"/>
      <c r="I9" s="167"/>
      <c r="J9" s="167"/>
      <c r="K9" s="167"/>
      <c r="L9" s="167"/>
      <c r="M9" s="167">
        <f>SUM(E9:L9)</f>
        <v>389515.84429249377</v>
      </c>
      <c r="N9" s="168">
        <v>2.2000000000000002</v>
      </c>
      <c r="O9" s="169">
        <f>M9*N9</f>
        <v>856934.85744348634</v>
      </c>
    </row>
    <row r="10" spans="2:15" ht="34">
      <c r="B10" s="170"/>
      <c r="C10" s="171"/>
      <c r="D10" s="172" t="s">
        <v>310</v>
      </c>
      <c r="E10" s="173"/>
      <c r="F10" s="173"/>
      <c r="G10" s="173">
        <v>467419.01315099257</v>
      </c>
      <c r="H10" s="173">
        <v>2430578.8683851608</v>
      </c>
      <c r="I10" s="173"/>
      <c r="J10" s="173"/>
      <c r="K10" s="173"/>
      <c r="L10" s="173"/>
      <c r="M10" s="173">
        <f t="shared" ref="M10:M19" si="0">SUM(E10:L10)</f>
        <v>2897997.8815361531</v>
      </c>
      <c r="N10" s="174">
        <v>1.5</v>
      </c>
      <c r="O10" s="175">
        <f t="shared" ref="O10:O19" si="1">M10*N10</f>
        <v>4346996.8223042302</v>
      </c>
    </row>
    <row r="11" spans="2:15" ht="34">
      <c r="B11" s="170"/>
      <c r="C11" s="171"/>
      <c r="D11" s="172" t="s">
        <v>78</v>
      </c>
      <c r="E11" s="173"/>
      <c r="F11" s="173"/>
      <c r="G11" s="173">
        <v>389515.84429249377</v>
      </c>
      <c r="H11" s="173"/>
      <c r="I11" s="173"/>
      <c r="J11" s="173"/>
      <c r="K11" s="173"/>
      <c r="L11" s="173"/>
      <c r="M11" s="173">
        <f t="shared" si="0"/>
        <v>389515.84429249377</v>
      </c>
      <c r="N11" s="174">
        <v>10</v>
      </c>
      <c r="O11" s="175">
        <f t="shared" si="1"/>
        <v>3895158.4429249377</v>
      </c>
    </row>
    <row r="12" spans="2:15" ht="26.5" customHeight="1">
      <c r="B12" s="170"/>
      <c r="C12" s="171"/>
      <c r="D12" s="176" t="s">
        <v>84</v>
      </c>
      <c r="E12" s="173"/>
      <c r="F12" s="173"/>
      <c r="G12" s="173">
        <v>389515.84429249377</v>
      </c>
      <c r="H12" s="173"/>
      <c r="I12" s="173"/>
      <c r="J12" s="173"/>
      <c r="K12" s="173"/>
      <c r="L12" s="173"/>
      <c r="M12" s="173">
        <f t="shared" si="0"/>
        <v>389515.84429249377</v>
      </c>
      <c r="N12" s="174">
        <v>5</v>
      </c>
      <c r="O12" s="175">
        <f t="shared" si="1"/>
        <v>1947579.2214624688</v>
      </c>
    </row>
    <row r="13" spans="2:15" ht="34">
      <c r="B13" s="170"/>
      <c r="C13" s="171"/>
      <c r="D13" s="172" t="s">
        <v>88</v>
      </c>
      <c r="E13" s="173"/>
      <c r="F13" s="173"/>
      <c r="G13" s="173"/>
      <c r="H13" s="173"/>
      <c r="I13" s="173"/>
      <c r="J13" s="173">
        <v>6024512</v>
      </c>
      <c r="K13" s="173"/>
      <c r="L13" s="173"/>
      <c r="M13" s="173">
        <f t="shared" si="0"/>
        <v>6024512</v>
      </c>
      <c r="N13" s="174">
        <v>1.5</v>
      </c>
      <c r="O13" s="175">
        <f t="shared" si="1"/>
        <v>9036768</v>
      </c>
    </row>
    <row r="14" spans="2:15" ht="51">
      <c r="B14" s="170"/>
      <c r="C14" s="171"/>
      <c r="D14" s="172" t="s">
        <v>94</v>
      </c>
      <c r="E14" s="173"/>
      <c r="F14" s="173"/>
      <c r="G14" s="173">
        <v>1246450.7017359801</v>
      </c>
      <c r="H14" s="173"/>
      <c r="I14" s="173"/>
      <c r="J14" s="173"/>
      <c r="K14" s="173"/>
      <c r="L14" s="173"/>
      <c r="M14" s="173">
        <f t="shared" si="0"/>
        <v>1246450.7017359801</v>
      </c>
      <c r="N14" s="174">
        <v>5</v>
      </c>
      <c r="O14" s="175">
        <f t="shared" si="1"/>
        <v>6232253.5086799003</v>
      </c>
    </row>
    <row r="15" spans="2:15" ht="34">
      <c r="B15" s="170"/>
      <c r="C15" s="171"/>
      <c r="D15" s="172" t="s">
        <v>311</v>
      </c>
      <c r="E15" s="173"/>
      <c r="F15" s="173"/>
      <c r="G15" s="173"/>
      <c r="H15" s="173"/>
      <c r="I15" s="173"/>
      <c r="J15" s="173"/>
      <c r="K15" s="173"/>
      <c r="L15" s="173">
        <v>30000</v>
      </c>
      <c r="M15" s="173">
        <f t="shared" si="0"/>
        <v>30000</v>
      </c>
      <c r="N15" s="174">
        <v>100</v>
      </c>
      <c r="O15" s="175">
        <f t="shared" si="1"/>
        <v>3000000</v>
      </c>
    </row>
    <row r="16" spans="2:15" ht="33.5" customHeight="1">
      <c r="B16" s="170"/>
      <c r="C16" s="171" t="s">
        <v>105</v>
      </c>
      <c r="D16" s="176" t="s">
        <v>107</v>
      </c>
      <c r="E16" s="173"/>
      <c r="F16" s="173"/>
      <c r="G16" s="173"/>
      <c r="H16" s="173"/>
      <c r="I16" s="173"/>
      <c r="J16" s="173">
        <v>6024512</v>
      </c>
      <c r="K16" s="173"/>
      <c r="L16" s="173"/>
      <c r="M16" s="173">
        <f t="shared" si="0"/>
        <v>6024512</v>
      </c>
      <c r="N16" s="174">
        <v>1.5</v>
      </c>
      <c r="O16" s="175">
        <f t="shared" si="1"/>
        <v>9036768</v>
      </c>
    </row>
    <row r="17" spans="2:15" ht="68">
      <c r="B17" s="170"/>
      <c r="C17" s="171"/>
      <c r="D17" s="172" t="s">
        <v>312</v>
      </c>
      <c r="E17" s="173"/>
      <c r="F17" s="173"/>
      <c r="G17" s="173"/>
      <c r="H17" s="173"/>
      <c r="I17" s="173"/>
      <c r="J17" s="173"/>
      <c r="K17" s="173"/>
      <c r="L17" s="173">
        <v>3000</v>
      </c>
      <c r="M17" s="173">
        <f t="shared" si="0"/>
        <v>3000</v>
      </c>
      <c r="N17" s="174">
        <v>135</v>
      </c>
      <c r="O17" s="175">
        <f t="shared" si="1"/>
        <v>405000</v>
      </c>
    </row>
    <row r="18" spans="2:15" ht="68">
      <c r="B18" s="170"/>
      <c r="C18" s="171" t="s">
        <v>215</v>
      </c>
      <c r="D18" s="172" t="s">
        <v>119</v>
      </c>
      <c r="E18" s="173"/>
      <c r="F18" s="173"/>
      <c r="G18" s="173"/>
      <c r="H18" s="173"/>
      <c r="I18" s="173"/>
      <c r="J18" s="173"/>
      <c r="K18" s="173"/>
      <c r="L18" s="173">
        <v>3000</v>
      </c>
      <c r="M18" s="173">
        <f t="shared" si="0"/>
        <v>3000</v>
      </c>
      <c r="N18" s="174">
        <v>100</v>
      </c>
      <c r="O18" s="175">
        <f t="shared" si="1"/>
        <v>300000</v>
      </c>
    </row>
    <row r="19" spans="2:15" ht="68">
      <c r="B19" s="170"/>
      <c r="C19" s="171"/>
      <c r="D19" s="172" t="s">
        <v>313</v>
      </c>
      <c r="E19" s="173"/>
      <c r="F19" s="173"/>
      <c r="G19" s="173"/>
      <c r="H19" s="173">
        <v>1512360</v>
      </c>
      <c r="I19" s="173"/>
      <c r="J19" s="173"/>
      <c r="K19" s="173"/>
      <c r="L19" s="173"/>
      <c r="M19" s="173">
        <f t="shared" si="0"/>
        <v>1512360</v>
      </c>
      <c r="N19" s="174">
        <v>9.5</v>
      </c>
      <c r="O19" s="175">
        <f t="shared" si="1"/>
        <v>14367420</v>
      </c>
    </row>
    <row r="20" spans="2:15">
      <c r="B20" s="170"/>
      <c r="C20" s="177" t="s">
        <v>314</v>
      </c>
      <c r="D20" s="177"/>
      <c r="E20" s="173"/>
      <c r="F20" s="173"/>
      <c r="G20" s="173"/>
      <c r="H20" s="173"/>
      <c r="I20" s="173"/>
      <c r="J20" s="173"/>
      <c r="K20" s="173"/>
      <c r="L20" s="173"/>
      <c r="M20" s="173"/>
      <c r="N20" s="174"/>
      <c r="O20" s="178">
        <f>SUM(O9:O19)</f>
        <v>53424878.852815025</v>
      </c>
    </row>
    <row r="21" spans="2:15" ht="34">
      <c r="B21" s="170" t="s">
        <v>315</v>
      </c>
      <c r="C21" s="179" t="s">
        <v>136</v>
      </c>
      <c r="D21" s="172" t="s">
        <v>138</v>
      </c>
      <c r="E21" s="173">
        <v>644000</v>
      </c>
      <c r="F21" s="173"/>
      <c r="G21" s="173"/>
      <c r="H21" s="173"/>
      <c r="I21" s="173"/>
      <c r="J21" s="173"/>
      <c r="K21" s="173"/>
      <c r="L21" s="173"/>
      <c r="M21" s="173">
        <f>SUM(E21:L21)</f>
        <v>644000</v>
      </c>
      <c r="N21" s="174">
        <v>2.2000000000000002</v>
      </c>
      <c r="O21" s="175">
        <f>M21*N21</f>
        <v>1416800</v>
      </c>
    </row>
    <row r="22" spans="2:15" ht="51">
      <c r="B22" s="170"/>
      <c r="C22" s="179"/>
      <c r="D22" s="172" t="s">
        <v>143</v>
      </c>
      <c r="E22" s="173"/>
      <c r="F22" s="173">
        <v>1506127.9312643092</v>
      </c>
      <c r="G22" s="173"/>
      <c r="H22" s="173"/>
      <c r="I22" s="173"/>
      <c r="J22" s="173"/>
      <c r="K22" s="173"/>
      <c r="L22" s="173"/>
      <c r="M22" s="173">
        <f t="shared" ref="M22:M27" si="2">SUM(E22:L22)</f>
        <v>1506127.9312643092</v>
      </c>
      <c r="N22" s="174">
        <v>5</v>
      </c>
      <c r="O22" s="175">
        <f t="shared" ref="O22:O27" si="3">M22*N22</f>
        <v>7530639.6563215461</v>
      </c>
    </row>
    <row r="23" spans="2:15">
      <c r="B23" s="170"/>
      <c r="C23" s="179"/>
      <c r="D23" s="176" t="s">
        <v>149</v>
      </c>
      <c r="E23" s="173"/>
      <c r="F23" s="173">
        <v>1506127.9312643092</v>
      </c>
      <c r="G23" s="173"/>
      <c r="H23" s="173"/>
      <c r="I23" s="173"/>
      <c r="J23" s="173"/>
      <c r="K23" s="173"/>
      <c r="L23" s="173"/>
      <c r="M23" s="173">
        <f t="shared" si="2"/>
        <v>1506127.9312643092</v>
      </c>
      <c r="N23" s="174">
        <v>6</v>
      </c>
      <c r="O23" s="175">
        <f t="shared" si="3"/>
        <v>9036767.5875858553</v>
      </c>
    </row>
    <row r="24" spans="2:15">
      <c r="B24" s="170"/>
      <c r="C24" s="179"/>
      <c r="D24" s="176" t="s">
        <v>155</v>
      </c>
      <c r="E24" s="173"/>
      <c r="F24" s="173">
        <v>150613</v>
      </c>
      <c r="G24" s="173"/>
      <c r="H24" s="173"/>
      <c r="I24" s="173"/>
      <c r="J24" s="173"/>
      <c r="K24" s="173"/>
      <c r="L24" s="173"/>
      <c r="M24" s="173">
        <f t="shared" si="2"/>
        <v>150613</v>
      </c>
      <c r="N24" s="174">
        <v>1.5</v>
      </c>
      <c r="O24" s="175">
        <f t="shared" si="3"/>
        <v>225919.5</v>
      </c>
    </row>
    <row r="25" spans="2:15" ht="68">
      <c r="B25" s="170"/>
      <c r="C25" s="176" t="s">
        <v>105</v>
      </c>
      <c r="D25" s="172" t="s">
        <v>161</v>
      </c>
      <c r="E25" s="173"/>
      <c r="F25" s="173"/>
      <c r="G25" s="173"/>
      <c r="H25" s="173"/>
      <c r="I25" s="173"/>
      <c r="J25" s="173"/>
      <c r="K25" s="173">
        <v>1770526.5</v>
      </c>
      <c r="L25" s="173"/>
      <c r="M25" s="173">
        <f t="shared" si="2"/>
        <v>1770526.5</v>
      </c>
      <c r="N25" s="174">
        <v>3</v>
      </c>
      <c r="O25" s="175">
        <f t="shared" si="3"/>
        <v>5311579.5</v>
      </c>
    </row>
    <row r="26" spans="2:15" ht="51">
      <c r="B26" s="170"/>
      <c r="C26" s="179" t="s">
        <v>166</v>
      </c>
      <c r="D26" s="172" t="s">
        <v>168</v>
      </c>
      <c r="E26" s="173"/>
      <c r="F26" s="173"/>
      <c r="G26" s="173"/>
      <c r="H26" s="173"/>
      <c r="I26" s="173"/>
      <c r="J26" s="173">
        <v>6751607.967736559</v>
      </c>
      <c r="K26" s="173"/>
      <c r="L26" s="173"/>
      <c r="M26" s="173">
        <f t="shared" si="2"/>
        <v>6751607.967736559</v>
      </c>
      <c r="N26" s="174">
        <v>1.5</v>
      </c>
      <c r="O26" s="175">
        <f t="shared" si="3"/>
        <v>10127411.951604839</v>
      </c>
    </row>
    <row r="27" spans="2:15" ht="23.5" customHeight="1">
      <c r="B27" s="170"/>
      <c r="C27" s="179"/>
      <c r="D27" s="176" t="s">
        <v>173</v>
      </c>
      <c r="E27" s="173"/>
      <c r="F27" s="173"/>
      <c r="G27" s="173"/>
      <c r="H27" s="173"/>
      <c r="I27" s="173"/>
      <c r="J27" s="173"/>
      <c r="K27" s="173">
        <v>1770526.5</v>
      </c>
      <c r="L27" s="173"/>
      <c r="M27" s="173">
        <f t="shared" si="2"/>
        <v>1770526.5</v>
      </c>
      <c r="N27" s="174">
        <v>25</v>
      </c>
      <c r="O27" s="175">
        <f t="shared" si="3"/>
        <v>44263162.5</v>
      </c>
    </row>
    <row r="28" spans="2:15">
      <c r="B28" s="170"/>
      <c r="C28" s="180"/>
      <c r="D28" s="181" t="s">
        <v>314</v>
      </c>
      <c r="E28" s="173"/>
      <c r="F28" s="173"/>
      <c r="G28" s="173"/>
      <c r="H28" s="173"/>
      <c r="I28" s="173"/>
      <c r="J28" s="173"/>
      <c r="K28" s="173"/>
      <c r="L28" s="173"/>
      <c r="M28" s="173"/>
      <c r="N28" s="174"/>
      <c r="O28" s="178">
        <f>SUM(O21:O27)</f>
        <v>77912280.695512235</v>
      </c>
    </row>
    <row r="29" spans="2:15" ht="51">
      <c r="B29" s="170" t="s">
        <v>316</v>
      </c>
      <c r="C29" s="179" t="s">
        <v>136</v>
      </c>
      <c r="D29" s="172" t="s">
        <v>181</v>
      </c>
      <c r="E29" s="173"/>
      <c r="F29" s="173"/>
      <c r="G29" s="173"/>
      <c r="H29" s="173"/>
      <c r="I29" s="173"/>
      <c r="J29" s="173"/>
      <c r="K29" s="173"/>
      <c r="L29" s="173">
        <v>1500</v>
      </c>
      <c r="M29" s="173">
        <f>SUM(E29:L29)</f>
        <v>1500</v>
      </c>
      <c r="N29" s="174">
        <v>150</v>
      </c>
      <c r="O29" s="175">
        <f>M29*N29</f>
        <v>225000</v>
      </c>
    </row>
    <row r="30" spans="2:15" ht="34">
      <c r="B30" s="170"/>
      <c r="C30" s="179"/>
      <c r="D30" s="172" t="s">
        <v>187</v>
      </c>
      <c r="E30" s="173"/>
      <c r="F30" s="173"/>
      <c r="G30" s="173"/>
      <c r="H30" s="173"/>
      <c r="I30" s="173"/>
      <c r="J30" s="173"/>
      <c r="K30" s="173"/>
      <c r="L30" s="173">
        <v>10000</v>
      </c>
      <c r="M30" s="173">
        <f t="shared" ref="M30:M36" si="4">SUM(E30:L30)</f>
        <v>10000</v>
      </c>
      <c r="N30" s="174">
        <v>15</v>
      </c>
      <c r="O30" s="175">
        <f>M30*N30</f>
        <v>150000</v>
      </c>
    </row>
    <row r="31" spans="2:15" ht="68">
      <c r="B31" s="170"/>
      <c r="C31" s="179"/>
      <c r="D31" s="172" t="s">
        <v>192</v>
      </c>
      <c r="E31" s="173"/>
      <c r="F31" s="173"/>
      <c r="G31" s="173"/>
      <c r="H31" s="173"/>
      <c r="I31" s="173"/>
      <c r="J31" s="173">
        <v>6024512</v>
      </c>
      <c r="K31" s="173"/>
      <c r="L31" s="173"/>
      <c r="M31" s="173">
        <f t="shared" si="4"/>
        <v>6024512</v>
      </c>
      <c r="N31" s="174">
        <v>1.5</v>
      </c>
      <c r="O31" s="175">
        <f>M31*N31</f>
        <v>9036768</v>
      </c>
    </row>
    <row r="32" spans="2:15" ht="34">
      <c r="B32" s="170"/>
      <c r="C32" s="179"/>
      <c r="D32" s="172" t="s">
        <v>196</v>
      </c>
      <c r="E32" s="173"/>
      <c r="F32" s="173"/>
      <c r="G32" s="173"/>
      <c r="H32" s="173"/>
      <c r="I32" s="173"/>
      <c r="J32" s="173"/>
      <c r="K32" s="173"/>
      <c r="L32" s="173">
        <v>50</v>
      </c>
      <c r="M32" s="173">
        <f t="shared" si="4"/>
        <v>50</v>
      </c>
      <c r="N32" s="174">
        <v>150</v>
      </c>
      <c r="O32" s="175">
        <f t="shared" ref="O32:O36" si="5">M32*N32</f>
        <v>7500</v>
      </c>
    </row>
    <row r="33" spans="2:15" ht="51">
      <c r="B33" s="170"/>
      <c r="C33" s="171" t="s">
        <v>105</v>
      </c>
      <c r="D33" s="172" t="s">
        <v>317</v>
      </c>
      <c r="E33" s="173"/>
      <c r="F33" s="173"/>
      <c r="G33" s="173"/>
      <c r="H33" s="173"/>
      <c r="I33" s="173"/>
      <c r="J33" s="173">
        <v>1807353.5999999999</v>
      </c>
      <c r="K33" s="173"/>
      <c r="L33" s="173"/>
      <c r="M33" s="173">
        <f t="shared" si="4"/>
        <v>1807353.5999999999</v>
      </c>
      <c r="N33" s="174">
        <v>1.5</v>
      </c>
      <c r="O33" s="175">
        <f t="shared" si="5"/>
        <v>2711030.4</v>
      </c>
    </row>
    <row r="34" spans="2:15" ht="34">
      <c r="B34" s="170"/>
      <c r="C34" s="171"/>
      <c r="D34" s="172" t="s">
        <v>207</v>
      </c>
      <c r="E34" s="173"/>
      <c r="F34" s="173"/>
      <c r="G34" s="173"/>
      <c r="H34" s="173"/>
      <c r="I34" s="173"/>
      <c r="J34" s="173">
        <v>1807353.5999999999</v>
      </c>
      <c r="K34" s="173"/>
      <c r="L34" s="173"/>
      <c r="M34" s="173">
        <f t="shared" si="4"/>
        <v>1807353.5999999999</v>
      </c>
      <c r="N34" s="174">
        <v>15</v>
      </c>
      <c r="O34" s="175">
        <f t="shared" si="5"/>
        <v>27110303.999999996</v>
      </c>
    </row>
    <row r="35" spans="2:15" ht="34">
      <c r="B35" s="170"/>
      <c r="C35" s="171"/>
      <c r="D35" s="172" t="s">
        <v>213</v>
      </c>
      <c r="E35" s="173"/>
      <c r="F35" s="173"/>
      <c r="G35" s="173"/>
      <c r="H35" s="173"/>
      <c r="I35" s="173"/>
      <c r="J35" s="173"/>
      <c r="K35" s="173"/>
      <c r="L35" s="173">
        <v>10000</v>
      </c>
      <c r="M35" s="173">
        <f t="shared" si="4"/>
        <v>10000</v>
      </c>
      <c r="N35" s="174">
        <v>100</v>
      </c>
      <c r="O35" s="175">
        <f t="shared" si="5"/>
        <v>1000000</v>
      </c>
    </row>
    <row r="36" spans="2:15" ht="68">
      <c r="B36" s="170"/>
      <c r="C36" s="180" t="s">
        <v>215</v>
      </c>
      <c r="D36" s="172" t="s">
        <v>217</v>
      </c>
      <c r="E36" s="173"/>
      <c r="F36" s="173"/>
      <c r="G36" s="173"/>
      <c r="H36" s="173"/>
      <c r="I36" s="173"/>
      <c r="J36" s="173">
        <v>150612.79312643092</v>
      </c>
      <c r="K36" s="173"/>
      <c r="L36" s="173"/>
      <c r="M36" s="173">
        <f t="shared" si="4"/>
        <v>150612.79312643092</v>
      </c>
      <c r="N36" s="174">
        <v>250</v>
      </c>
      <c r="O36" s="175">
        <f t="shared" si="5"/>
        <v>37653198.281607732</v>
      </c>
    </row>
    <row r="37" spans="2:15">
      <c r="B37" s="170"/>
      <c r="C37" s="180"/>
      <c r="D37" s="181" t="s">
        <v>314</v>
      </c>
      <c r="E37" s="173"/>
      <c r="F37" s="173"/>
      <c r="G37" s="173"/>
      <c r="H37" s="173"/>
      <c r="I37" s="173"/>
      <c r="J37" s="173"/>
      <c r="K37" s="173"/>
      <c r="L37" s="173"/>
      <c r="M37" s="173"/>
      <c r="N37" s="174"/>
      <c r="O37" s="178">
        <f>SUM(O29:O36)</f>
        <v>77893800.681607723</v>
      </c>
    </row>
    <row r="38" spans="2:15" ht="17">
      <c r="B38" s="170" t="s">
        <v>318</v>
      </c>
      <c r="C38" s="179" t="s">
        <v>136</v>
      </c>
      <c r="D38" s="57" t="s">
        <v>233</v>
      </c>
      <c r="E38" s="173"/>
      <c r="F38" s="173"/>
      <c r="G38" s="173">
        <v>2430579</v>
      </c>
      <c r="H38" s="173"/>
      <c r="I38" s="173"/>
      <c r="J38" s="173"/>
      <c r="K38" s="173"/>
      <c r="L38" s="173"/>
      <c r="M38" s="173">
        <f>SUM(E38:L38)</f>
        <v>2430579</v>
      </c>
      <c r="N38" s="174">
        <v>4.5</v>
      </c>
      <c r="O38" s="175">
        <f>M38*N38</f>
        <v>10937605.5</v>
      </c>
    </row>
    <row r="39" spans="2:15" ht="51">
      <c r="B39" s="170"/>
      <c r="C39" s="179"/>
      <c r="D39" s="172" t="s">
        <v>319</v>
      </c>
      <c r="E39" s="173"/>
      <c r="F39" s="173"/>
      <c r="G39" s="173"/>
      <c r="H39" s="173"/>
      <c r="I39" s="173"/>
      <c r="J39" s="173"/>
      <c r="K39" s="173"/>
      <c r="L39" s="173">
        <v>10000</v>
      </c>
      <c r="M39" s="173">
        <f t="shared" ref="M39:M47" si="6">SUM(E39:L39)</f>
        <v>10000</v>
      </c>
      <c r="N39" s="174">
        <v>100</v>
      </c>
      <c r="O39" s="175">
        <f>M39*N39</f>
        <v>1000000</v>
      </c>
    </row>
    <row r="40" spans="2:15" ht="25" customHeight="1">
      <c r="B40" s="170"/>
      <c r="C40" s="179"/>
      <c r="D40" s="176" t="s">
        <v>320</v>
      </c>
      <c r="E40" s="173"/>
      <c r="F40" s="173"/>
      <c r="G40" s="173">
        <v>9037</v>
      </c>
      <c r="H40" s="173"/>
      <c r="I40" s="173"/>
      <c r="J40" s="173"/>
      <c r="K40" s="173"/>
      <c r="L40" s="173"/>
      <c r="M40" s="173">
        <f t="shared" si="6"/>
        <v>9037</v>
      </c>
      <c r="N40" s="174">
        <v>150</v>
      </c>
      <c r="O40" s="175">
        <f t="shared" ref="O40:O47" si="7">M40*N40</f>
        <v>1355550</v>
      </c>
    </row>
    <row r="41" spans="2:15" ht="34">
      <c r="B41" s="170"/>
      <c r="C41" s="179"/>
      <c r="D41" s="172" t="s">
        <v>250</v>
      </c>
      <c r="E41" s="173"/>
      <c r="F41" s="173"/>
      <c r="G41" s="173"/>
      <c r="H41" s="173"/>
      <c r="I41" s="173"/>
      <c r="J41" s="173"/>
      <c r="K41" s="173"/>
      <c r="L41" s="173">
        <v>2074</v>
      </c>
      <c r="M41" s="173">
        <f t="shared" si="6"/>
        <v>2074</v>
      </c>
      <c r="N41" s="174">
        <v>150</v>
      </c>
      <c r="O41" s="175">
        <f t="shared" si="7"/>
        <v>311100</v>
      </c>
    </row>
    <row r="42" spans="2:15" ht="34">
      <c r="B42" s="170"/>
      <c r="C42" s="179"/>
      <c r="D42" s="57" t="s">
        <v>321</v>
      </c>
      <c r="E42" s="173"/>
      <c r="F42" s="173">
        <v>58356</v>
      </c>
      <c r="G42" s="173"/>
      <c r="H42" s="173"/>
      <c r="I42" s="173"/>
      <c r="J42" s="173"/>
      <c r="K42" s="173"/>
      <c r="L42" s="173"/>
      <c r="M42" s="173">
        <f t="shared" si="6"/>
        <v>58356</v>
      </c>
      <c r="N42" s="174">
        <v>165</v>
      </c>
      <c r="O42" s="175">
        <f t="shared" si="7"/>
        <v>9628740</v>
      </c>
    </row>
    <row r="43" spans="2:15" ht="34">
      <c r="B43" s="170"/>
      <c r="C43" s="179" t="s">
        <v>105</v>
      </c>
      <c r="D43" s="57" t="s">
        <v>322</v>
      </c>
      <c r="E43" s="173"/>
      <c r="F43" s="173">
        <v>36147</v>
      </c>
      <c r="G43" s="173">
        <v>27912</v>
      </c>
      <c r="H43" s="173"/>
      <c r="I43" s="173"/>
      <c r="J43" s="173"/>
      <c r="K43" s="173"/>
      <c r="L43" s="173"/>
      <c r="M43" s="173">
        <f t="shared" si="6"/>
        <v>64059</v>
      </c>
      <c r="N43" s="174">
        <v>150</v>
      </c>
      <c r="O43" s="175">
        <f t="shared" si="7"/>
        <v>9608850</v>
      </c>
    </row>
    <row r="44" spans="2:15" ht="51">
      <c r="B44" s="170"/>
      <c r="C44" s="179"/>
      <c r="D44" s="57" t="s">
        <v>323</v>
      </c>
      <c r="E44" s="173"/>
      <c r="F44" s="173"/>
      <c r="G44" s="173"/>
      <c r="H44" s="173"/>
      <c r="I44" s="173"/>
      <c r="J44" s="173"/>
      <c r="K44" s="173"/>
      <c r="L44" s="173">
        <v>1500</v>
      </c>
      <c r="M44" s="173">
        <f t="shared" si="6"/>
        <v>1500</v>
      </c>
      <c r="N44" s="174">
        <v>325</v>
      </c>
      <c r="O44" s="175">
        <f t="shared" si="7"/>
        <v>487500</v>
      </c>
    </row>
    <row r="45" spans="2:15" ht="51">
      <c r="B45" s="170"/>
      <c r="C45" s="179"/>
      <c r="D45" s="57" t="s">
        <v>324</v>
      </c>
      <c r="E45" s="173"/>
      <c r="F45" s="173"/>
      <c r="G45" s="173"/>
      <c r="H45" s="173"/>
      <c r="I45" s="173"/>
      <c r="J45" s="173"/>
      <c r="K45" s="173"/>
      <c r="L45" s="173">
        <v>1500</v>
      </c>
      <c r="M45" s="173">
        <f t="shared" si="6"/>
        <v>1500</v>
      </c>
      <c r="N45" s="174">
        <v>100</v>
      </c>
      <c r="O45" s="175">
        <f t="shared" si="7"/>
        <v>150000</v>
      </c>
    </row>
    <row r="46" spans="2:15" ht="51">
      <c r="B46" s="170"/>
      <c r="C46" s="179" t="s">
        <v>215</v>
      </c>
      <c r="D46" s="57" t="s">
        <v>325</v>
      </c>
      <c r="E46" s="173"/>
      <c r="F46" s="173"/>
      <c r="G46" s="173"/>
      <c r="H46" s="173"/>
      <c r="I46" s="173"/>
      <c r="J46" s="173"/>
      <c r="K46" s="173"/>
      <c r="L46" s="173">
        <v>3000</v>
      </c>
      <c r="M46" s="173">
        <f t="shared" si="6"/>
        <v>3000</v>
      </c>
      <c r="N46" s="174">
        <v>100</v>
      </c>
      <c r="O46" s="175">
        <f t="shared" si="7"/>
        <v>300000</v>
      </c>
    </row>
    <row r="47" spans="2:15" ht="68">
      <c r="B47" s="170"/>
      <c r="C47" s="179"/>
      <c r="D47" s="172" t="s">
        <v>326</v>
      </c>
      <c r="E47" s="173"/>
      <c r="F47" s="173"/>
      <c r="G47" s="173"/>
      <c r="H47" s="173"/>
      <c r="I47" s="173"/>
      <c r="J47" s="173">
        <f>J36*0.1</f>
        <v>15061.279312643092</v>
      </c>
      <c r="K47" s="173"/>
      <c r="L47" s="173"/>
      <c r="M47" s="173">
        <f t="shared" si="6"/>
        <v>15061.279312643092</v>
      </c>
      <c r="N47" s="174">
        <v>250</v>
      </c>
      <c r="O47" s="175">
        <f t="shared" si="7"/>
        <v>3765319.828160773</v>
      </c>
    </row>
    <row r="48" spans="2:15">
      <c r="B48" s="170"/>
      <c r="C48" s="180"/>
      <c r="D48" s="181" t="s">
        <v>314</v>
      </c>
      <c r="E48" s="173"/>
      <c r="F48" s="173"/>
      <c r="G48" s="173"/>
      <c r="H48" s="173"/>
      <c r="I48" s="173"/>
      <c r="J48" s="173"/>
      <c r="K48" s="173"/>
      <c r="L48" s="173"/>
      <c r="M48" s="173"/>
      <c r="N48" s="174"/>
      <c r="O48" s="178">
        <f>SUM(O38:O47)</f>
        <v>37544665.32816077</v>
      </c>
    </row>
    <row r="49" spans="2:15" ht="17" thickBot="1">
      <c r="B49" s="182"/>
      <c r="C49" s="183"/>
      <c r="D49" s="184" t="s">
        <v>327</v>
      </c>
      <c r="E49" s="185"/>
      <c r="F49" s="185"/>
      <c r="G49" s="185"/>
      <c r="H49" s="185"/>
      <c r="I49" s="185"/>
      <c r="J49" s="185"/>
      <c r="K49" s="185"/>
      <c r="L49" s="185"/>
      <c r="M49" s="185"/>
      <c r="N49" s="186"/>
      <c r="O49" s="187">
        <f>O48+O37+O28+O20</f>
        <v>246775625.55809575</v>
      </c>
    </row>
  </sheetData>
  <mergeCells count="27">
    <mergeCell ref="B29:B37"/>
    <mergeCell ref="C29:C32"/>
    <mergeCell ref="C33:C35"/>
    <mergeCell ref="B38:B48"/>
    <mergeCell ref="C38:C42"/>
    <mergeCell ref="C43:C45"/>
    <mergeCell ref="C46:C47"/>
    <mergeCell ref="B9:B20"/>
    <mergeCell ref="C9:C15"/>
    <mergeCell ref="C16:C17"/>
    <mergeCell ref="C18:C19"/>
    <mergeCell ref="C20:D20"/>
    <mergeCell ref="B21:B28"/>
    <mergeCell ref="C21:C24"/>
    <mergeCell ref="C26:C27"/>
    <mergeCell ref="J7:J8"/>
    <mergeCell ref="K7:K8"/>
    <mergeCell ref="L7:L8"/>
    <mergeCell ref="M7:M8"/>
    <mergeCell ref="N7:N8"/>
    <mergeCell ref="O7:O8"/>
    <mergeCell ref="B2:D2"/>
    <mergeCell ref="B3:D3"/>
    <mergeCell ref="B5:D5"/>
    <mergeCell ref="C7:C8"/>
    <mergeCell ref="D7:D8"/>
    <mergeCell ref="E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2021-11-12T01:34:00Z</dcterms:created>
  <dcterms:modified xsi:type="dcterms:W3CDTF">2021-11-19T18:27:28Z</dcterms:modified>
</cp:coreProperties>
</file>