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defaultThemeVersion="166925"/>
  <mc:AlternateContent xmlns:mc="http://schemas.openxmlformats.org/markup-compatibility/2006">
    <mc:Choice Requires="x15">
      <x15ac:absPath xmlns:x15ac="http://schemas.microsoft.com/office/spreadsheetml/2010/11/ac" url="/Users/sarahcarr/Desktop/GAP Costed Country Roadmaps_FINAL/ETHIOPIA_FINAL/"/>
    </mc:Choice>
  </mc:AlternateContent>
  <xr:revisionPtr revIDLastSave="0" documentId="13_ncr:1_{2CCCA78B-5308-3142-A6E1-5029CD877862}" xr6:coauthVersionLast="47" xr6:coauthVersionMax="47" xr10:uidLastSave="{00000000-0000-0000-0000-000000000000}"/>
  <bookViews>
    <workbookView xWindow="28800" yWindow="460" windowWidth="38400" windowHeight="21140" xr2:uid="{3FB44A12-A5C3-3947-8961-DABFC6020D26}"/>
  </bookViews>
  <sheets>
    <sheet name="Roadmap" sheetId="1" r:id="rId1"/>
    <sheet name="Budge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6" i="2" l="1"/>
  <c r="I74" i="2"/>
  <c r="K74" i="2" s="1"/>
  <c r="L74" i="2" s="1"/>
  <c r="I73" i="2"/>
  <c r="K73" i="2" s="1"/>
  <c r="L73" i="2" s="1"/>
  <c r="I72" i="2"/>
  <c r="K72" i="2" s="1"/>
  <c r="L72" i="2" s="1"/>
  <c r="K71" i="2"/>
  <c r="L71" i="2" s="1"/>
  <c r="L70" i="2"/>
  <c r="K70" i="2"/>
  <c r="I70" i="2"/>
  <c r="K69" i="2"/>
  <c r="L69" i="2" s="1"/>
  <c r="I68" i="2"/>
  <c r="K68" i="2" s="1"/>
  <c r="L68" i="2" s="1"/>
  <c r="L67" i="2"/>
  <c r="K67" i="2"/>
  <c r="K66" i="2"/>
  <c r="L66" i="2" s="1"/>
  <c r="K65" i="2"/>
  <c r="L65" i="2" s="1"/>
  <c r="K64" i="2"/>
  <c r="L64" i="2" s="1"/>
  <c r="L63" i="2"/>
  <c r="K63" i="2"/>
  <c r="K62" i="2"/>
  <c r="L62" i="2" s="1"/>
  <c r="I61" i="2"/>
  <c r="K61" i="2" s="1"/>
  <c r="K59" i="2"/>
  <c r="L59" i="2" s="1"/>
  <c r="I58" i="2"/>
  <c r="K58" i="2" s="1"/>
  <c r="L58" i="2" s="1"/>
  <c r="L57" i="2"/>
  <c r="K57" i="2"/>
  <c r="I56" i="2"/>
  <c r="K56" i="2" s="1"/>
  <c r="L56" i="2" s="1"/>
  <c r="K55" i="2"/>
  <c r="L55" i="2" s="1"/>
  <c r="K54" i="2"/>
  <c r="L54" i="2" s="1"/>
  <c r="L53" i="2"/>
  <c r="K53" i="2"/>
  <c r="I53" i="2"/>
  <c r="I52" i="2"/>
  <c r="K52" i="2" s="1"/>
  <c r="L52" i="2" s="1"/>
  <c r="K51" i="2"/>
  <c r="L51" i="2" s="1"/>
  <c r="L50" i="2"/>
  <c r="K50" i="2"/>
  <c r="K49" i="2"/>
  <c r="L49" i="2" s="1"/>
  <c r="I48" i="2"/>
  <c r="K48" i="2" s="1"/>
  <c r="L48" i="2" s="1"/>
  <c r="K47" i="2"/>
  <c r="L47" i="2" s="1"/>
  <c r="I47" i="2"/>
  <c r="I46" i="2"/>
  <c r="K46" i="2" s="1"/>
  <c r="L46" i="2" s="1"/>
  <c r="K45" i="2"/>
  <c r="L45" i="2" s="1"/>
  <c r="K44" i="2"/>
  <c r="L44" i="2" s="1"/>
  <c r="I43" i="2"/>
  <c r="K43" i="2" s="1"/>
  <c r="K41" i="2"/>
  <c r="L41" i="2" s="1"/>
  <c r="I41" i="2"/>
  <c r="I40" i="2"/>
  <c r="K40" i="2" s="1"/>
  <c r="L40" i="2" s="1"/>
  <c r="K39" i="2"/>
  <c r="L39" i="2" s="1"/>
  <c r="K38" i="2"/>
  <c r="L38" i="2" s="1"/>
  <c r="I38" i="2"/>
  <c r="K37" i="2"/>
  <c r="L37" i="2" s="1"/>
  <c r="K36" i="2"/>
  <c r="L36" i="2" s="1"/>
  <c r="I35" i="2"/>
  <c r="K35" i="2" s="1"/>
  <c r="L35" i="2" s="1"/>
  <c r="L34" i="2"/>
  <c r="I33" i="2"/>
  <c r="K33" i="2" s="1"/>
  <c r="L33" i="2" s="1"/>
  <c r="I32" i="2"/>
  <c r="K32" i="2" s="1"/>
  <c r="L32" i="2" s="1"/>
  <c r="L31" i="2"/>
  <c r="K31" i="2"/>
  <c r="I31" i="2"/>
  <c r="K30" i="2"/>
  <c r="L30" i="2" s="1"/>
  <c r="L28" i="2"/>
  <c r="K28" i="2"/>
  <c r="I27" i="2"/>
  <c r="K27" i="2" s="1"/>
  <c r="L27" i="2" s="1"/>
  <c r="I26" i="2"/>
  <c r="K26" i="2" s="1"/>
  <c r="L26" i="2" s="1"/>
  <c r="L25" i="2"/>
  <c r="K25" i="2"/>
  <c r="I25" i="2"/>
  <c r="I24" i="2"/>
  <c r="K24" i="2" s="1"/>
  <c r="L24" i="2" s="1"/>
  <c r="I23" i="2"/>
  <c r="K23" i="2" s="1"/>
  <c r="L23" i="2" s="1"/>
  <c r="I22" i="2"/>
  <c r="K22" i="2" s="1"/>
  <c r="L22" i="2" s="1"/>
  <c r="I21" i="2"/>
  <c r="K21" i="2" s="1"/>
  <c r="L21" i="2" s="1"/>
  <c r="K20" i="2"/>
  <c r="L20" i="2" s="1"/>
  <c r="I20" i="2"/>
  <c r="I19" i="2"/>
  <c r="K19" i="2" s="1"/>
  <c r="L19" i="2" s="1"/>
  <c r="I18" i="2"/>
  <c r="K18" i="2" s="1"/>
  <c r="L18" i="2" s="1"/>
  <c r="L17" i="2"/>
  <c r="K17" i="2"/>
  <c r="I17" i="2"/>
  <c r="I16" i="2"/>
  <c r="K16" i="2" s="1"/>
  <c r="L16" i="2" s="1"/>
  <c r="I15" i="2"/>
  <c r="K15" i="2" s="1"/>
  <c r="L15" i="2" s="1"/>
  <c r="I14" i="2"/>
  <c r="K14" i="2" s="1"/>
  <c r="L14" i="2" s="1"/>
  <c r="I13" i="2"/>
  <c r="K13" i="2" s="1"/>
  <c r="L13" i="2" s="1"/>
  <c r="K12" i="2"/>
  <c r="L12" i="2" s="1"/>
  <c r="I12" i="2"/>
  <c r="I11" i="2"/>
  <c r="K11" i="2" s="1"/>
  <c r="L11" i="2" s="1"/>
  <c r="K10" i="2"/>
  <c r="L10" i="2" s="1"/>
  <c r="K9" i="2"/>
  <c r="L42" i="2" l="1"/>
  <c r="K29" i="2"/>
  <c r="K60" i="2"/>
  <c r="L43" i="2"/>
  <c r="L60" i="2" s="1"/>
  <c r="L61" i="2"/>
  <c r="L75" i="2" s="1"/>
  <c r="K75" i="2"/>
  <c r="K42" i="2"/>
  <c r="L9" i="2"/>
  <c r="L29" i="2" s="1"/>
  <c r="B20" i="1"/>
  <c r="B21" i="1" s="1"/>
  <c r="B22" i="1" s="1"/>
  <c r="B23" i="1" s="1"/>
  <c r="B24" i="1" s="1"/>
  <c r="B25" i="1" s="1"/>
  <c r="B26" i="1" s="1"/>
  <c r="B27" i="1" s="1"/>
  <c r="B28" i="1" s="1"/>
  <c r="B29" i="1" s="1"/>
  <c r="K76" i="2" l="1"/>
  <c r="M42" i="2" s="1"/>
  <c r="M29" i="2" l="1"/>
  <c r="M60" i="2"/>
  <c r="M7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Sarah Carr</author>
  </authors>
  <commentList>
    <comment ref="H9" authorId="0" shapeId="0" xr:uid="{7398FD0B-6C8E-FC4A-82B1-0C3B48228EC1}">
      <text>
        <r>
          <rPr>
            <sz val="14"/>
            <color rgb="FF000000"/>
            <rFont val="Calibri"/>
            <family val="2"/>
          </rPr>
          <t>Administrator:</t>
        </r>
        <r>
          <rPr>
            <b/>
            <sz val="12"/>
            <color rgb="FFFFFFFF"/>
            <rFont val="Calibri"/>
            <family val="2"/>
          </rPr>
          <t xml:space="preserve">
</t>
        </r>
        <r>
          <rPr>
            <b/>
            <sz val="12"/>
            <color rgb="FFFFFFFF"/>
            <rFont val="Calibri"/>
            <family val="2"/>
          </rPr>
          <t>woredas</t>
        </r>
      </text>
    </comment>
    <comment ref="H13" authorId="0" shapeId="0" xr:uid="{3114DF07-B887-374B-A79E-D3F5B1E35A70}">
      <text>
        <r>
          <rPr>
            <sz val="14"/>
            <color rgb="FF000000"/>
            <rFont val="Calibri"/>
            <family val="2"/>
          </rPr>
          <t>Administrator:</t>
        </r>
        <r>
          <rPr>
            <b/>
            <sz val="12"/>
            <color rgb="FFFFFFFF"/>
            <rFont val="Calibri"/>
            <family val="2"/>
          </rPr>
          <t xml:space="preserve">
</t>
        </r>
        <r>
          <rPr>
            <b/>
            <sz val="12"/>
            <color rgb="FFFFFFFF"/>
            <rFont val="Calibri"/>
            <family val="2"/>
          </rPr>
          <t>woredas</t>
        </r>
      </text>
    </comment>
    <comment ref="H17" authorId="0" shapeId="0" xr:uid="{E8B42C8F-E86D-6D42-B825-ADBC68E55C8A}">
      <text>
        <r>
          <rPr>
            <sz val="14"/>
            <color rgb="FF000000"/>
            <rFont val="Calibri"/>
            <family val="2"/>
          </rPr>
          <t>Administrator:</t>
        </r>
        <r>
          <rPr>
            <b/>
            <sz val="12"/>
            <color rgb="FFFFFFFF"/>
            <rFont val="Calibri"/>
            <family val="2"/>
          </rPr>
          <t xml:space="preserve">
</t>
        </r>
        <r>
          <rPr>
            <b/>
            <sz val="12"/>
            <color rgb="FFFFFFFF"/>
            <rFont val="Calibri"/>
            <family val="2"/>
          </rPr>
          <t>woredas</t>
        </r>
      </text>
    </comment>
    <comment ref="H18" authorId="0" shapeId="0" xr:uid="{6D1877B1-DF15-A443-8BD8-640F649A5392}">
      <text>
        <r>
          <rPr>
            <sz val="14"/>
            <color rgb="FF000000"/>
            <rFont val="Calibri"/>
            <family val="2"/>
          </rPr>
          <t>Administrator:</t>
        </r>
        <r>
          <rPr>
            <b/>
            <sz val="12"/>
            <color rgb="FFFFFFFF"/>
            <rFont val="Calibri"/>
            <family val="2"/>
          </rPr>
          <t xml:space="preserve">
</t>
        </r>
        <r>
          <rPr>
            <b/>
            <sz val="12"/>
            <color rgb="FFFFFFFF"/>
            <rFont val="Calibri"/>
            <family val="2"/>
          </rPr>
          <t>woredas</t>
        </r>
      </text>
    </comment>
    <comment ref="H22" authorId="0" shapeId="0" xr:uid="{F63EAAAE-E552-AD4D-B085-C927FA7D9C7F}">
      <text>
        <r>
          <rPr>
            <sz val="14"/>
            <color rgb="FF000000"/>
            <rFont val="Calibri"/>
            <family val="2"/>
          </rPr>
          <t>Administrator:</t>
        </r>
        <r>
          <rPr>
            <b/>
            <sz val="12"/>
            <color rgb="FFFFFFFF"/>
            <rFont val="Calibri"/>
            <family val="2"/>
          </rPr>
          <t xml:space="preserve">
</t>
        </r>
        <r>
          <rPr>
            <b/>
            <sz val="12"/>
            <color rgb="FFFFFFFF"/>
            <rFont val="Calibri"/>
            <family val="2"/>
          </rPr>
          <t>school aged children and adolesents</t>
        </r>
      </text>
    </comment>
    <comment ref="H24" authorId="0" shapeId="0" xr:uid="{396E25F8-83AC-3047-94D0-2379F30BE8D0}">
      <text>
        <r>
          <rPr>
            <sz val="14"/>
            <color rgb="FF000000"/>
            <rFont val="Calibri"/>
            <family val="2"/>
          </rPr>
          <t>Administrator:</t>
        </r>
        <r>
          <rPr>
            <b/>
            <sz val="12"/>
            <color rgb="FFFFFFFF"/>
            <rFont val="Calibri"/>
            <family val="2"/>
          </rPr>
          <t xml:space="preserve">
</t>
        </r>
        <r>
          <rPr>
            <b/>
            <sz val="12"/>
            <color rgb="FFFFFFFF"/>
            <rFont val="Calibri"/>
            <family val="2"/>
          </rPr>
          <t>inspectors</t>
        </r>
      </text>
    </comment>
    <comment ref="H30" authorId="0" shapeId="0" xr:uid="{EFA89FDF-E228-5243-88AA-E1EFDB8745B9}">
      <text>
        <r>
          <rPr>
            <sz val="14"/>
            <color rgb="FF000000"/>
            <rFont val="Calibri"/>
            <family val="2"/>
          </rPr>
          <t>Administrator:</t>
        </r>
        <r>
          <rPr>
            <b/>
            <sz val="12"/>
            <color rgb="FFFFFFFF"/>
            <rFont val="Calibri"/>
            <family val="2"/>
          </rPr>
          <t xml:space="preserve">
</t>
        </r>
        <r>
          <rPr>
            <b/>
            <sz val="12"/>
            <color rgb="FFFFFFFF"/>
            <rFont val="Calibri"/>
            <family val="2"/>
          </rPr>
          <t>woredas</t>
        </r>
      </text>
    </comment>
    <comment ref="H31" authorId="0" shapeId="0" xr:uid="{4EBBE41D-F8A1-0E4D-AF00-56D121D5C583}">
      <text>
        <r>
          <rPr>
            <sz val="14"/>
            <color rgb="FF000000"/>
            <rFont val="Calibri"/>
            <family val="2"/>
          </rPr>
          <t>Administrator:</t>
        </r>
        <r>
          <rPr>
            <b/>
            <sz val="12"/>
            <color rgb="FFFFFFFF"/>
            <rFont val="Calibri"/>
            <family val="2"/>
          </rPr>
          <t xml:space="preserve">
</t>
        </r>
        <r>
          <rPr>
            <b/>
            <sz val="12"/>
            <color rgb="FFFFFFFF"/>
            <rFont val="Calibri"/>
            <family val="2"/>
          </rPr>
          <t>woredas</t>
        </r>
      </text>
    </comment>
    <comment ref="H39" authorId="0" shapeId="0" xr:uid="{44E2535D-432C-504B-80B6-BCBCDDC86BEE}">
      <text>
        <r>
          <rPr>
            <sz val="14"/>
            <color rgb="FF000000"/>
            <rFont val="Calibri"/>
            <family val="2"/>
          </rPr>
          <t>Administrator:</t>
        </r>
        <r>
          <rPr>
            <b/>
            <sz val="12"/>
            <color rgb="FFFFFFFF"/>
            <rFont val="Calibri"/>
            <family val="2"/>
          </rPr>
          <t xml:space="preserve">
</t>
        </r>
        <r>
          <rPr>
            <b/>
            <sz val="12"/>
            <color rgb="FFFFFFFF"/>
            <rFont val="Calibri"/>
            <family val="2"/>
          </rPr>
          <t>adolescent</t>
        </r>
      </text>
    </comment>
    <comment ref="E43" authorId="0" shapeId="0" xr:uid="{BADA0E99-FDA5-8748-9714-CDF7BD335CD7}">
      <text>
        <r>
          <rPr>
            <sz val="14"/>
            <color rgb="FF000000"/>
            <rFont val="Calibri"/>
            <family val="2"/>
          </rPr>
          <t>Administrator:</t>
        </r>
        <r>
          <rPr>
            <b/>
            <sz val="12"/>
            <color rgb="FFFFFFFF"/>
            <rFont val="Calibri"/>
            <family val="2"/>
          </rPr>
          <t xml:space="preserve">
</t>
        </r>
        <r>
          <rPr>
            <b/>
            <sz val="12"/>
            <color rgb="FFFFFFFF"/>
            <rFont val="Calibri"/>
            <family val="2"/>
          </rPr>
          <t xml:space="preserve">refugees </t>
        </r>
      </text>
    </comment>
    <comment ref="H44" authorId="0" shapeId="0" xr:uid="{D3CC9431-8515-EB4B-9998-1D7C0820229F}">
      <text>
        <r>
          <rPr>
            <sz val="14"/>
            <color rgb="FF000000"/>
            <rFont val="Calibri"/>
            <family val="2"/>
          </rPr>
          <t>Administrator:</t>
        </r>
        <r>
          <rPr>
            <b/>
            <sz val="12"/>
            <color rgb="FFFFFFFF"/>
            <rFont val="Calibri"/>
            <family val="2"/>
          </rPr>
          <t xml:space="preserve">
</t>
        </r>
        <r>
          <rPr>
            <b/>
            <sz val="12"/>
            <color rgb="FFFFFFFF"/>
            <rFont val="Calibri"/>
            <family val="2"/>
          </rPr>
          <t>woredas</t>
        </r>
      </text>
    </comment>
    <comment ref="H45" authorId="0" shapeId="0" xr:uid="{040BBD7C-01EC-BE42-8251-1DD809CC2FDC}">
      <text>
        <r>
          <rPr>
            <sz val="14"/>
            <color rgb="FF000000"/>
            <rFont val="Calibri"/>
            <family val="2"/>
          </rPr>
          <t>Administrator:</t>
        </r>
        <r>
          <rPr>
            <b/>
            <sz val="12"/>
            <color rgb="FFFFFFFF"/>
            <rFont val="Calibri"/>
            <family val="2"/>
          </rPr>
          <t xml:space="preserve">
</t>
        </r>
        <r>
          <rPr>
            <b/>
            <sz val="12"/>
            <color rgb="FFFFFFFF"/>
            <rFont val="Calibri"/>
            <family val="2"/>
          </rPr>
          <t>woredas</t>
        </r>
      </text>
    </comment>
    <comment ref="H46" authorId="0" shapeId="0" xr:uid="{E2C71F45-C59C-6C43-A1E7-339CD553C061}">
      <text>
        <r>
          <rPr>
            <sz val="14"/>
            <color rgb="FF000000"/>
            <rFont val="Calibri"/>
            <family val="2"/>
          </rPr>
          <t>Administrator:</t>
        </r>
        <r>
          <rPr>
            <b/>
            <sz val="12"/>
            <color rgb="FFFFFFFF"/>
            <rFont val="Calibri"/>
            <family val="2"/>
          </rPr>
          <t xml:space="preserve">
</t>
        </r>
        <r>
          <rPr>
            <b/>
            <sz val="12"/>
            <color rgb="FFFFFFFF"/>
            <rFont val="Calibri"/>
            <family val="2"/>
          </rPr>
          <t>regional inspector office</t>
        </r>
      </text>
    </comment>
    <comment ref="H52" authorId="0" shapeId="0" xr:uid="{8688D68A-9C3F-BA4B-AF06-8E5E59CDC01F}">
      <text>
        <r>
          <rPr>
            <sz val="14"/>
            <color rgb="FF000000"/>
            <rFont val="Calibri"/>
            <family val="2"/>
          </rPr>
          <t>Administrator:</t>
        </r>
        <r>
          <rPr>
            <b/>
            <sz val="12"/>
            <color rgb="FFFFFFFF"/>
            <rFont val="Calibri"/>
            <family val="2"/>
          </rPr>
          <t xml:space="preserve">
</t>
        </r>
        <r>
          <rPr>
            <b/>
            <sz val="12"/>
            <color rgb="FFFFFFFF"/>
            <rFont val="Calibri"/>
            <family val="2"/>
          </rPr>
          <t>woredas</t>
        </r>
      </text>
    </comment>
    <comment ref="I55" authorId="0" shapeId="0" xr:uid="{E80B37A4-F172-7E4C-BADF-EB205C6AB70B}">
      <text>
        <r>
          <rPr>
            <sz val="14"/>
            <color rgb="FF000000"/>
            <rFont val="Calibri"/>
            <family val="2"/>
          </rPr>
          <t>Administrator:</t>
        </r>
        <r>
          <rPr>
            <b/>
            <sz val="12"/>
            <color rgb="FFFFFFFF"/>
            <rFont val="Calibri"/>
            <family val="2"/>
          </rPr>
          <t xml:space="preserve">
</t>
        </r>
        <r>
          <rPr>
            <b/>
            <sz val="12"/>
            <color rgb="FFFFFFFF"/>
            <rFont val="Calibri"/>
            <family val="2"/>
          </rPr>
          <t>na</t>
        </r>
      </text>
    </comment>
    <comment ref="F56" authorId="0" shapeId="0" xr:uid="{EFD816CC-2CCA-0141-B2F3-B0659B395FC2}">
      <text>
        <r>
          <rPr>
            <sz val="14"/>
            <color rgb="FF000000"/>
            <rFont val="Calibri"/>
            <family val="2"/>
          </rPr>
          <t>Administrator:</t>
        </r>
        <r>
          <rPr>
            <b/>
            <sz val="12"/>
            <color rgb="FFFFFFFF"/>
            <rFont val="Calibri"/>
            <family val="2"/>
          </rPr>
          <t xml:space="preserve">
</t>
        </r>
        <r>
          <rPr>
            <b/>
            <sz val="12"/>
            <color rgb="FFFFFFFF"/>
            <rFont val="Calibri"/>
            <family val="2"/>
          </rPr>
          <t>including 4,670 refugees</t>
        </r>
      </text>
    </comment>
    <comment ref="H58" authorId="1" shapeId="0" xr:uid="{9612332D-61B6-284F-BB0A-A0284FD68A22}">
      <text>
        <r>
          <rPr>
            <b/>
            <sz val="10"/>
            <color rgb="FF000000"/>
            <rFont val="Tahoma"/>
            <family val="2"/>
          </rPr>
          <t>Sarah Carr:</t>
        </r>
        <r>
          <rPr>
            <sz val="10"/>
            <color rgb="FF000000"/>
            <rFont val="Tahoma"/>
            <family val="2"/>
          </rPr>
          <t xml:space="preserve">
</t>
        </r>
        <r>
          <rPr>
            <sz val="10"/>
            <color rgb="FF000000"/>
            <rFont val="Tahoma"/>
            <family val="2"/>
          </rPr>
          <t xml:space="preserve">Woredas
</t>
        </r>
      </text>
    </comment>
    <comment ref="I58" authorId="0" shapeId="0" xr:uid="{2B4750F9-33E6-A547-8754-08190D2F8D33}">
      <text>
        <r>
          <rPr>
            <sz val="14"/>
            <color rgb="FF000000"/>
            <rFont val="Calibri"/>
            <family val="2"/>
          </rPr>
          <t>Administrator:</t>
        </r>
        <r>
          <rPr>
            <b/>
            <sz val="12"/>
            <color rgb="FFFFFFFF"/>
            <rFont val="Calibri"/>
            <family val="2"/>
          </rPr>
          <t xml:space="preserve">
</t>
        </r>
        <r>
          <rPr>
            <b/>
            <sz val="12"/>
            <color rgb="FFFFFFFF"/>
            <rFont val="Calibri"/>
            <family val="2"/>
          </rPr>
          <t>n/a</t>
        </r>
      </text>
    </comment>
    <comment ref="H63" authorId="0" shapeId="0" xr:uid="{4C0C653A-5A9A-C844-B880-8BBADA4A9E62}">
      <text>
        <r>
          <rPr>
            <sz val="14"/>
            <color rgb="FF000000"/>
            <rFont val="Calibri"/>
            <family val="2"/>
          </rPr>
          <t>Administrator:</t>
        </r>
        <r>
          <rPr>
            <b/>
            <sz val="12"/>
            <color rgb="FFFFFFFF"/>
            <rFont val="Calibri"/>
            <family val="2"/>
          </rPr>
          <t xml:space="preserve">
</t>
        </r>
        <r>
          <rPr>
            <b/>
            <sz val="12"/>
            <color rgb="FFFFFFFF"/>
            <rFont val="Calibri"/>
            <family val="2"/>
          </rPr>
          <t>woredas</t>
        </r>
      </text>
    </comment>
    <comment ref="H64" authorId="0" shapeId="0" xr:uid="{C2FA97C6-F471-604B-B8C8-CE75F6F07C0B}">
      <text>
        <r>
          <rPr>
            <sz val="14"/>
            <color rgb="FF000000"/>
            <rFont val="Calibri"/>
            <family val="2"/>
          </rPr>
          <t>Administrator:</t>
        </r>
        <r>
          <rPr>
            <b/>
            <sz val="12"/>
            <color rgb="FFFFFFFF"/>
            <rFont val="Calibri"/>
            <family val="2"/>
          </rPr>
          <t xml:space="preserve">
</t>
        </r>
        <r>
          <rPr>
            <b/>
            <sz val="12"/>
            <color rgb="FFFFFFFF"/>
            <rFont val="Calibri"/>
            <family val="2"/>
          </rPr>
          <t>woredas</t>
        </r>
      </text>
    </comment>
    <comment ref="H65" authorId="0" shapeId="0" xr:uid="{85943BAC-D330-5B45-B809-9FAF21121E0A}">
      <text>
        <r>
          <rPr>
            <sz val="14"/>
            <color rgb="FF000000"/>
            <rFont val="Calibri"/>
            <family val="2"/>
          </rPr>
          <t>Administrator:</t>
        </r>
        <r>
          <rPr>
            <b/>
            <sz val="12"/>
            <color rgb="FFFFFFFF"/>
            <rFont val="Calibri"/>
            <family val="2"/>
          </rPr>
          <t xml:space="preserve">
</t>
        </r>
        <r>
          <rPr>
            <b/>
            <sz val="12"/>
            <color rgb="FFFFFFFF"/>
            <rFont val="Calibri"/>
            <family val="2"/>
          </rPr>
          <t xml:space="preserve"> regions</t>
        </r>
      </text>
    </comment>
    <comment ref="H66" authorId="0" shapeId="0" xr:uid="{B70F6C2B-DE56-554A-9098-92C7E816C8B8}">
      <text>
        <r>
          <rPr>
            <sz val="14"/>
            <color rgb="FF000000"/>
            <rFont val="Calibri"/>
            <family val="2"/>
          </rPr>
          <t>Administrator:</t>
        </r>
        <r>
          <rPr>
            <b/>
            <sz val="12"/>
            <color rgb="FFFFFFFF"/>
            <rFont val="Calibri"/>
            <family val="2"/>
          </rPr>
          <t xml:space="preserve">
</t>
        </r>
        <r>
          <rPr>
            <b/>
            <sz val="12"/>
            <color rgb="FFFFFFFF"/>
            <rFont val="Calibri"/>
            <family val="2"/>
          </rPr>
          <t xml:space="preserve"> regions</t>
        </r>
      </text>
    </comment>
    <comment ref="H74" authorId="0" shapeId="0" xr:uid="{90FCEF7E-1028-044A-847C-3EC9016E7163}">
      <text>
        <r>
          <rPr>
            <sz val="14"/>
            <color rgb="FF000000"/>
            <rFont val="Calibri"/>
            <family val="2"/>
          </rPr>
          <t>Administrator:</t>
        </r>
        <r>
          <rPr>
            <b/>
            <sz val="12"/>
            <color rgb="FFFFFFFF"/>
            <rFont val="Calibri"/>
            <family val="2"/>
          </rPr>
          <t xml:space="preserve">
</t>
        </r>
        <r>
          <rPr>
            <b/>
            <sz val="12"/>
            <color rgb="FFFFFFFF"/>
            <rFont val="Calibri"/>
            <family val="2"/>
          </rPr>
          <t>regions</t>
        </r>
      </text>
    </comment>
  </commentList>
</comments>
</file>

<file path=xl/sharedStrings.xml><?xml version="1.0" encoding="utf-8"?>
<sst xmlns="http://schemas.openxmlformats.org/spreadsheetml/2006/main" count="820" uniqueCount="378">
  <si>
    <t>GLOBAL ACTION PLAN ON CHILD WASTING</t>
  </si>
  <si>
    <t>Country Operational Roadmap</t>
  </si>
  <si>
    <t>Ethiopia</t>
  </si>
  <si>
    <t>CHILD WASTING:  GLOBAL TARGETS AND NATIONAL PREVALENCE</t>
  </si>
  <si>
    <t>Global Target (2030)</t>
  </si>
  <si>
    <t>By 2030, reduce wasting prevalence to less than 3%</t>
  </si>
  <si>
    <t>Global Target (2025)</t>
  </si>
  <si>
    <t>By 2025, reduce wasting prevalence to less than 5%</t>
  </si>
  <si>
    <t>Current National Prevalence (2020)</t>
  </si>
  <si>
    <t>7.2% (2019 mini-DHS data, n=4,999) vs 9.9 (2016 DHS data, n=10,552), the miniDHS of 2014 has shown that the prevalence might be under-represented due to the small sample size</t>
  </si>
  <si>
    <t xml:space="preserve">CHILD WASTING:  A NATIONAL AND SUB-NATIONAL SNAPSHOT </t>
  </si>
  <si>
    <t>National</t>
  </si>
  <si>
    <t>Sub-National 
(Second Tier Administrative Boundaries)</t>
  </si>
  <si>
    <t>Wasting Prevalence</t>
  </si>
  <si>
    <r>
      <t xml:space="preserve">Current (%)
</t>
    </r>
    <r>
      <rPr>
        <b/>
        <i/>
        <sz val="10"/>
        <rFont val="Helvetica Light"/>
      </rPr>
      <t>2019 mini DHS vs 2016 DHS</t>
    </r>
  </si>
  <si>
    <t xml:space="preserve">2025 Target (%)
</t>
  </si>
  <si>
    <t xml:space="preserve">National </t>
  </si>
  <si>
    <t>7.2% vs 9.9%</t>
  </si>
  <si>
    <t>Maintain around 9%
(the actual crisis will not support additional decrease)</t>
  </si>
  <si>
    <t>Tigray</t>
  </si>
  <si>
    <t>9.2% vs 11.1%</t>
  </si>
  <si>
    <t>Maintain around 10%
(the actual crisis will not support additional decrease)</t>
  </si>
  <si>
    <t>Afar</t>
  </si>
  <si>
    <t>13.9% vs 17.7%</t>
  </si>
  <si>
    <t>Reach towards 10%</t>
  </si>
  <si>
    <t>Amhara</t>
  </si>
  <si>
    <t>7.6% vs 9.8%</t>
  </si>
  <si>
    <t>Maintain at &lt;10%</t>
  </si>
  <si>
    <t>Oromia</t>
  </si>
  <si>
    <t>4.7% vs 10.6%</t>
  </si>
  <si>
    <t>Somali</t>
  </si>
  <si>
    <t>21.1% vs 22.7%</t>
  </si>
  <si>
    <t>Reduce below 20%</t>
  </si>
  <si>
    <t>Benshingul Gumuz</t>
  </si>
  <si>
    <t>6.1% vs 11.5%</t>
  </si>
  <si>
    <t>Maintain &lt;10%</t>
  </si>
  <si>
    <t>SNNPR and Sidama</t>
  </si>
  <si>
    <t>6.3% vs 6%</t>
  </si>
  <si>
    <t>Reduce below 5%</t>
  </si>
  <si>
    <t>Gambella</t>
  </si>
  <si>
    <t>12.5% vs 14.1%</t>
  </si>
  <si>
    <t>Maintain towards 10%</t>
  </si>
  <si>
    <t>Harari</t>
  </si>
  <si>
    <t>4.2% vs 10.7%</t>
  </si>
  <si>
    <t>Maintain &lt;5%</t>
  </si>
  <si>
    <t>Addis Abeba</t>
  </si>
  <si>
    <t>2.3% vs 3.5%</t>
  </si>
  <si>
    <t>Maintain around 2%</t>
  </si>
  <si>
    <t>Dire Dawe</t>
  </si>
  <si>
    <t>5.8% vs 9.7%</t>
  </si>
  <si>
    <t>Maintain around 5%</t>
  </si>
  <si>
    <t>BACKGROUND</t>
  </si>
  <si>
    <t xml:space="preserve">Despite millions of dollars being spent on the treatment of wasting every year, the increased frequency and magnitude of environmental and anthropogenic shocks has halted progress. Ethiopia, home to more than 16 million children under 5 years old, is one of the countries that have high levels of wasting. A time-series analyses of the various rounds of demographic health surveys (DHS) illustrated that some progress was made in reducing the prevalence of wasting: the prevalence was 12.2% in the 2000 DHS and dropped to 7.8% in 2018 (mini-DHS). Although this is encouraging, the irregularities of the changes in wasting prevalence across time have kept the prevalence consistent around 10% between 2005–2016. Significant peaks in the number of wasted children have been observed in 2005 and 2016, which closely matches with periods of the 2002–2004 food crises and the 2015–2016 El Niño crises. Outside these time-points, slight reductions in the number of wasted children were observed, but these meagre changes in prevalence are likely to be overshadowed by another peak expected as a result of the COVID-19 pandemic, locust invasion and civil unrest in the north which is having a lasting effect on the economy, food, and health systems.
For children less than 5 months of age, Protein-energy malnutrition represents, in 2019, 2.7% of the total Ethiopian DALYS while nutrition deficeincies are ranked 7th of the ethiopian global health disease. In 2019, the burden of severe and moderate wasting was 3.2 million children under five. The economic burden of wasting, if the prevalence remains around 10%, is estimated to be between 152.1 million and 225.5 million USD. The highest economic burden is related to the cost of supplies and human resources to treat wasting, followed by the economic burden associated with childhood mortality related losses of the workforce. Added to this is the 1.8 million pregnant and lactating women who are wasted needing special attention in 2020 to prevent the vicious, inter-generational cycle of malnutrition. Understanding the timing of wasting, its incidence, and the most critical age, is essential to program effective interventions that can help reach the 5.4% AARR needed versus the actual 0.1% to reach the SDGs and help save over 680 million USD in the next decade and avert 7.9 million cases of wasting. Preventing wasting from happening in the first place would be even more crucial for the well being of the Ethiopian children and the national economy.
Achieving the ambitious nutrition target to prevent wasting and improving the health and nutrition status of children requires the partnership of the 5 UN agencies (UNICEF, WFP, WHO, UNHCR and FAO) and collaboration with stakeholders across multiple sectors to adopt an integrated approach that supports and enhances national food and health systems, particularly including in fragile settings (protracted emergencies, displaced, natural shock prone areas, and more recently COVID-19 pandemic), while taking full advantage of the synergies between those organization organizations. For example, dietary diversity was shown to be protective factors for malnutrition. Despite economic growth in Ethiopia, the quality of young children’s (6-24 months) diets remains a concern. More than 80 percent of urban or rural children aged 6 to 23 months do not receive the minimum acceptable diet daily with a large difference between urban (19%) and rural areas (6%). In addition, nutrient-dense foods are highly subject to loss and waste, given their perishability tendency. Therefore, increasing access to healthy diets through faster, stronger implementation of supply and demand-side strategies that address the underlying drivers of today’s faulty food systems is imperative to solve these problems, as well as to address related environmental and economic costs. This failure to provide adequate minimum diet diversity to young children (6-24 months) has a direct impact on their micronutrient status as well as overall growth and development. For example, zinc, iodine and vitamin A deficiencies in pre-school and school aged children are considered a serious public health issue in Ethiopia despite the long-term existence of salt iodization and vitamin A policies and supplementation programmes. Unfortunately, with the projected continued population growth over the next 10 years, estimated to reach 140 million people by 2030 and rapid urbanization, the dominant food and diets that Ethiopians have been producing and eating for the past 50 years will no longer be nutritionally sustainable nor meet the nutrient needs. Hence new approach in every system (Health, WASH, Food, social protection) is needed. 
Malnutrition that occurs during adolescence and pregnancy has a negative impact on the birth outcomes of new-borns and will have intergenerational effect. Malnourished adolescents, who represent 1 out of every 3 adolescent girls (15-19 years old) tend to be ultimately malnourished adults and give birth to small babies. With low coverage during pregnancy of ante-natal care visits (less than 32 percent have four or more antenatal visits), iron folate and albendazole supplementation (below six percent) and high neo-natal mortality rates , delivering a comprehensive package of high-impact maternal nutrition interventions with quality including breastfeeding practices should be prioritized at household, community and facility levels. As shown in the figure, health system strengthening provides many opportunities to improve the nutrition services, such as ensuring for example that iron and folic acid supplements are given during all ANC visits and exclusive breastfeeding is promoted during immunisation of infants
</t>
  </si>
  <si>
    <t>GEOGRAPHIC PRIORITY AREAS</t>
  </si>
  <si>
    <t>OUTCOME 1. REDUCED LOW BIRTHWEIGHT BY IMPROVING MATERNAL NUTRITION</t>
  </si>
  <si>
    <t>By 2025, reduce low birthweight by 30%</t>
  </si>
  <si>
    <t>National Target (2025)</t>
  </si>
  <si>
    <t>Reduce below 10%</t>
  </si>
  <si>
    <t>13.2% (EDHS 2016)</t>
  </si>
  <si>
    <t>OUTCOME 1:  OPERATIONAL FRAMEWORK</t>
  </si>
  <si>
    <t>System</t>
  </si>
  <si>
    <t>National Policy Commitment</t>
  </si>
  <si>
    <t>Operational Accelerator for: 
[Name of sub-national area]</t>
  </si>
  <si>
    <t>Stakeholder Support</t>
  </si>
  <si>
    <t>Intervention</t>
  </si>
  <si>
    <t>Delivery Platform</t>
  </si>
  <si>
    <t>Target Population</t>
  </si>
  <si>
    <t>Responsible</t>
  </si>
  <si>
    <t xml:space="preserve">Non-Government Support </t>
  </si>
  <si>
    <t>Health</t>
  </si>
  <si>
    <t>Revitalize pregnant mothers conference at community/HP level to promote early initiation of Antenatal care and nutrition counselling</t>
  </si>
  <si>
    <t>health facilitie, health posts, communities</t>
  </si>
  <si>
    <t>pregnant women and adolscent girls</t>
  </si>
  <si>
    <t xml:space="preserve">Regional health bureau, FMOH, RHBs, EPSA
</t>
  </si>
  <si>
    <t>UNICEF,UNHCR, WFP, WHO support financially and technically training and roll out
iNGO: support implementation where government service is facing disruption or bottlenecks
Rotaries: promote service to communities and appropriate practices</t>
  </si>
  <si>
    <t xml:space="preserve">Support the revision, training and dissemination of the national ANC guideline - adaptation of the latest WHO guidance for  “ANC for a positive pregnancy experience guideline”aimed at improving early intiation of ANC, Nutritional interventions during pregnancy </t>
  </si>
  <si>
    <t>health facilities, health posts, communities</t>
  </si>
  <si>
    <t>Support procurement of the IFA supplement and test kits for hemoglobin in support of the scale up of services to provide iron and folic acid supplements to women of reproductive age</t>
  </si>
  <si>
    <t>health facilities</t>
  </si>
  <si>
    <t>Provide free insecticide-treated nets (ITNs) for all pregnant women in all malaria endemic areas and procurement of malaria test kits for routine screening for malaria during ANC</t>
  </si>
  <si>
    <t>pregnant women</t>
  </si>
  <si>
    <t>Support Mobile Health and Nutrition Teams (MHNTs) for the most vulnerable population with limited access to health services to provide essential care services including counseling and treatment</t>
  </si>
  <si>
    <t>pregnant and lactating women, mother with children and communities</t>
  </si>
  <si>
    <t xml:space="preserve">Regional health bureau, FMOH and ARRA for refugee camps especially : lead the implementation and partnerships
</t>
  </si>
  <si>
    <t>Promote ante-natal care and inclusion of nutrition messages and ensure quality youth and Adolescent friendly services including in refugee campas</t>
  </si>
  <si>
    <t>health facilities and bureaus</t>
  </si>
  <si>
    <t>pregnant women and adolescent girls</t>
  </si>
  <si>
    <t>Regional health bureau, FMOH and ARRA for refugee camps especially : lead the implementation and partnerships
Health facilities implement</t>
  </si>
  <si>
    <t>Empower the mothers women development army (WDA) leaders to detect acutely wasted pregnant women from PSNP and refugee camps and not who are more at risk of a low birth weight children</t>
  </si>
  <si>
    <t>Community and health facilities</t>
  </si>
  <si>
    <t>Regional health bureau, FMOH and ARRA for refugee camps especially : lead the implementation and partnerships</t>
  </si>
  <si>
    <t xml:space="preserve">Provide Multiple Micronutrient supplements and SQLNS to women and adolescents girls during pregnancy
</t>
  </si>
  <si>
    <t>Regional Health bureau and FMOH: coordinate evidence generation and apply findings to new policy
Health facilities implement</t>
  </si>
  <si>
    <t>Food</t>
  </si>
  <si>
    <t xml:space="preserve">Produce diversified and nutrient dense  foods (fruits and vegetables), including development and promotion of production of bio fortified crops </t>
  </si>
  <si>
    <t>Agriculture bureaus and cooperatives, research institutions</t>
  </si>
  <si>
    <t>Small holder farmers which include pregnant and lactating women , adolescent</t>
  </si>
  <si>
    <t xml:space="preserve">FMOA and its bureaus and MoWIE coordinate the innovation in collaboration with development &amp; implementing partners
</t>
  </si>
  <si>
    <t>FAO, WFP, support financially and technically the lead ministry
iNGO: support technical expertise on request basis
Private sector (SMLE)</t>
  </si>
  <si>
    <t>Strengthen production and productivity of livestock and fisheries</t>
  </si>
  <si>
    <t>Agriculture/livestock &amp; Fisheries  bureaus and cooperatives; research insitutions</t>
  </si>
  <si>
    <t>Small holder farmers/ pastoralist including pregnant and lactating women; adolescent</t>
  </si>
  <si>
    <t xml:space="preserve">FMOA and its bureaus coordinate the innovation in collaboration with development &amp; implementing partners
</t>
  </si>
  <si>
    <t xml:space="preserve">FAO support financially and techncially the lead ministry
Regional and National Agricultural Research Institutes 
Livestock and Fishery Research Centers (public and private)
Private and development partners; INGO
</t>
  </si>
  <si>
    <t xml:space="preserve">
Promote and avail home grown school feeding program for school aged children and adolescents through promoting school gardening and strengthening school-community linkage in collaboration with FTCs/PTCs to produce diversified food items 
</t>
  </si>
  <si>
    <t>Schools and communities</t>
  </si>
  <si>
    <t>School aged children and adolescents</t>
  </si>
  <si>
    <t>Agriculture bureaus,  cooperatives, and bureau of education  (FMOA and FMOE lead the program while partners support)</t>
  </si>
  <si>
    <t>FAO support financially and technically the lead ministry
iNGO: support implementation of community sensibilization</t>
  </si>
  <si>
    <t>Small holder farmers/ pastoralist including pregnant and lactating women; adolesenct</t>
  </si>
  <si>
    <t>Strength income generating activties for PLW in a time and effort saving manner</t>
  </si>
  <si>
    <t>pregnant and lactating women</t>
  </si>
  <si>
    <r>
      <t xml:space="preserve">
Regional</t>
    </r>
    <r>
      <rPr>
        <sz val="12"/>
        <rFont val="Calibri"/>
        <family val="2"/>
        <scheme val="minor"/>
      </rPr>
      <t xml:space="preserve"> MoWCA; MoLSA; MoA; </t>
    </r>
  </si>
  <si>
    <r>
      <t xml:space="preserve">
</t>
    </r>
    <r>
      <rPr>
        <sz val="12"/>
        <rFont val="Calibri"/>
        <family val="2"/>
        <scheme val="minor"/>
      </rPr>
      <t>federal &amp; regional MoWCA; MoLSA; MoA;</t>
    </r>
  </si>
  <si>
    <t>FAO, UNICEF,WFP ; ILO; UN Women; UNDP support financially and technically the lead ministry
iNGO: support technical expertise on request basis; private sectoe</t>
  </si>
  <si>
    <t>improve food safety across the VC</t>
  </si>
  <si>
    <t>Regional Bureaus; MoA; FDA; MoH; MoTI</t>
  </si>
  <si>
    <t>VC actors</t>
  </si>
  <si>
    <t>FMoA, FMOH, EFDA; MoTI; ESA; potential industrial park corportion</t>
  </si>
  <si>
    <t>WHO; FAO; UNICEF; UNIDO; UNDP; INGOs; provate sector</t>
  </si>
  <si>
    <t>strengthen the linkages among food VC actiors</t>
  </si>
  <si>
    <t>BoA, BoTI; private sector</t>
  </si>
  <si>
    <t xml:space="preserve">Actors across VC; coopertives; </t>
  </si>
  <si>
    <t>MoA:MoTI; Investment comission; potential industrial park corportion</t>
  </si>
  <si>
    <t>FAO;UNIDO; UNDP; donors: Unwomen; chamber of commerce; 
private sector; associations; cooperatives; INGOs</t>
  </si>
  <si>
    <t>To increase production of adequately fortified salt, wheat flour and vegetable oil and fats and biofortified foods; and upscale programs to promote their consumption</t>
  </si>
  <si>
    <t>food industries and enforcement authorities</t>
  </si>
  <si>
    <t>private sectors</t>
  </si>
  <si>
    <t>Ministry of Industry and Trade coordinate the food fortification agenda while FMOH through EFDA support the enforcement of the legislation</t>
  </si>
  <si>
    <t>UNICEF,WFP support financially and technically the lead ministry
iNGO: support technical expertise on request basis</t>
  </si>
  <si>
    <t>not a national activities but essential to prevent acute malnutrition of offspring</t>
  </si>
  <si>
    <t>Support CBI/CVA with appropriate modalities and sytems either Multipurpose cash;FFV, cash for work and Digital cash transfer ( voucher/cash) for nutrient dense food</t>
  </si>
  <si>
    <t>institutional level and communities</t>
  </si>
  <si>
    <t>households</t>
  </si>
  <si>
    <t>FMOH and FMOA supervise program implemented by UN or civil society</t>
  </si>
  <si>
    <t>WFP lead the implementation with support of other UN agencies when required</t>
  </si>
  <si>
    <t>Social Protection</t>
  </si>
  <si>
    <t>Advocate for PSNP contingency budget to support PLW with low MUAC and support implementation within hotspot woredas 1 and 2</t>
  </si>
  <si>
    <t>FMOH and FMOA: lead PSNP5</t>
  </si>
  <si>
    <t>UNICEF,WFP, FAO support implementation of PSNP5
Rotaries support advocacy at community level to ensure prioritization of local governance</t>
  </si>
  <si>
    <r>
      <t>Target the poorest of PSNP clients and vulnerable refugee households  with livelihood grants</t>
    </r>
    <r>
      <rPr>
        <strike/>
        <sz val="12"/>
        <rFont val="Calibri"/>
        <family val="2"/>
        <scheme val="minor"/>
      </rPr>
      <t xml:space="preserve"> </t>
    </r>
  </si>
  <si>
    <t>PLW</t>
  </si>
  <si>
    <t>FMOA will supervise the intervention; to be implemented by program structures, WB, UN and civil society</t>
  </si>
  <si>
    <r>
      <t>UNICEF, WFP, FAO support implementation of PSNP5
Rotaries support advocacy at community level to ensure prioritization of local governance:</t>
    </r>
    <r>
      <rPr>
        <sz val="12"/>
        <color rgb="FFFF0000"/>
        <rFont val="Calibri"/>
        <family val="2"/>
        <scheme val="minor"/>
      </rPr>
      <t xml:space="preserve"> INGOs</t>
    </r>
  </si>
  <si>
    <t>Feeding programmes for prevention(in high risk populations) and Treatment of moderate acute  malnutrition(in PLWs)</t>
  </si>
  <si>
    <t>Advocate for Adolescent school Nutrition and feeding programs in Academic institutions</t>
  </si>
  <si>
    <t>Institutional level and communities</t>
  </si>
  <si>
    <t>Adolescent Girls</t>
  </si>
  <si>
    <t>FMOE in collaboration with FMOH</t>
  </si>
  <si>
    <t>WFP and UNICEF lead with support from UNHCR, WHO, FAO. INGO support the technical implementation</t>
  </si>
  <si>
    <t>OUTCOME 2. IMPROVED CHILD HEALTH BY IMPROVING ACCESS TO PRIMARY HEALTH CARE, WATER, SANITATION AND HYGIENE SERVICES AND ENHANCED FOOD SAFETY</t>
  </si>
  <si>
    <t>By 2030, achieve universal health coverage, including access to quality essential health-care services for all</t>
  </si>
  <si>
    <t xml:space="preserve">50% UHC Service Coverage Index of essential health service </t>
  </si>
  <si>
    <t>39% UHC Service Coverage Index of essential health services (EDHS and world bank : https://data.worldbank.org/indicator/SH.UHC.SRVS.CV.XD?locations=ET )</t>
  </si>
  <si>
    <t>OUTCOME 2:  OPERATIONAL FRAMEWORK</t>
  </si>
  <si>
    <t>Non-Government Support 
(e.g., UN Agencies, Civil Society, Donors, Academics)</t>
  </si>
  <si>
    <t>Intergrate Essential Nutrition actions into the health care package as part of the national health plans including emergency settings</t>
  </si>
  <si>
    <t>children 0-59 months</t>
  </si>
  <si>
    <t>Strengthen health worker capacity to provide quality essential childhood services and especially nutrition counselling in line with the National guidelines</t>
  </si>
  <si>
    <t>Strengthen and expand services  growth monitoring and promotion for children under 5 years, screening of under-twos   providing continum of care for low birth weight infants including preterm births and referal system for acutely malnourished children</t>
  </si>
  <si>
    <t>Implement high impact nutrition interventions including early breastfeeding and supplementation (vitamin A and deworming prophylaxis) and catch up campaign</t>
  </si>
  <si>
    <t>improve food storage and food handling at household level (food hygiene), with a focus on complementary and supplementary foods for young children</t>
  </si>
  <si>
    <t>regional health Bureaus</t>
  </si>
  <si>
    <t xml:space="preserve"> Households</t>
  </si>
  <si>
    <t xml:space="preserve">FMoH; MoE; MoWI; </t>
  </si>
  <si>
    <t xml:space="preserve">UNICEF, WFP, WHO; INGO: </t>
  </si>
  <si>
    <t>WASH</t>
  </si>
  <si>
    <t xml:space="preserve">strengthen linkages for nutrition/WASH education through the school curriculum.  Mainstreaming nutrition/WASH in curriculum reform and development of strategies to support articulation of curriculum content.  </t>
  </si>
  <si>
    <t>schools</t>
  </si>
  <si>
    <t>adolescent girls and boys</t>
  </si>
  <si>
    <t>Ministry of Education and Ministry of Health lead and supervise interventions</t>
  </si>
  <si>
    <t>Improved nutrition, WASH and child protection practices for adolescents, particularly girls through innovative campaigns (Yegna and others)</t>
  </si>
  <si>
    <t>schools and communities</t>
  </si>
  <si>
    <t>Strengthen/promote an enabling environment for private sectors to produce affordable, sustainable and locally acceptable WASH services and supplies (PPP) for enhanced local access</t>
  </si>
  <si>
    <t>institutional level</t>
  </si>
  <si>
    <t>private sector</t>
  </si>
  <si>
    <t>Ministry of water and its regional bureau lead the implementation and collaboration with FMOH for health facilities intervention</t>
  </si>
  <si>
    <t>UNICEF, WHO support financially and technically training and roll out
iNGO: support implementation where government service is facing disruption or bottlenecks
Rotaries: promote service to communities and appropriate practices</t>
  </si>
  <si>
    <t>Implement Baby WASH initiatives such as; Baby WASH friendly health facilities, hygienic community playgrounds etc.</t>
  </si>
  <si>
    <t>regional water bureaus</t>
  </si>
  <si>
    <t>health facilities and household with children 0-59 months</t>
  </si>
  <si>
    <t xml:space="preserve">Provide full WASH package for priority areas and collaborating with ONE WASH </t>
  </si>
  <si>
    <t xml:space="preserve">Regional bureaus of health, water, finance and education </t>
  </si>
  <si>
    <t>primary health care and schools in priority areas</t>
  </si>
  <si>
    <t>MoW; MoE; MoH; MoF; national WASH coordination Office</t>
  </si>
  <si>
    <t xml:space="preserve">UNICEF; WB; INGOs; </t>
  </si>
  <si>
    <t>Integrate handwashing message and hygiene during health and Agriculture promotion sessions</t>
  </si>
  <si>
    <t>regional health &amp; agriculture bureaus</t>
  </si>
  <si>
    <t>children 0-59 months and lactating women</t>
  </si>
  <si>
    <t>OUTCOME 3. IMPROVED INFANT AND YOUNG CHILD FEEDING BY IMPROVING BREASTFEEDING PRACTICES AND CHILDREN’S DIETS IN THE FIRST YEARS OF LIFE</t>
  </si>
  <si>
    <t>By 2025, the rate of exclusive breastfeeding in the first 6 months will increase up to at least 50% and at least 40% of children between 6-23 months consume a minimum diet diversity with an emphasis on animal source foods, pulses, fruits and vegetables</t>
  </si>
  <si>
    <t>Maintain EBF towards 60-65% and increase MDD (5+ food groups) above 25-27% minimum acceptable Diet(MAD )(5+ food groups) above 25-27%</t>
  </si>
  <si>
    <t xml:space="preserve">EBF Rates: 58.8% (mini EDHS 2019) and access MDD (5+ food groups) for children 6-23 months: 12.5% (EDHS 2016) </t>
  </si>
  <si>
    <t>OUTCOME 3:  OPERATIONAL FRAMEWORK</t>
  </si>
  <si>
    <t xml:space="preserve">Health </t>
  </si>
  <si>
    <t>strengthen the capacity and numbers of health facilities in provision of Baby friendly Hospital Initiative (BFHI) to increase early initiation and exclusive breastfeeding rates and adequate complementary feeding and hygiene practices</t>
  </si>
  <si>
    <t>health workers</t>
  </si>
  <si>
    <t>FMOH asupervise program implemented by UN or civil society</t>
  </si>
  <si>
    <t>UNICEF, WHO support financially and technically the government agencies to implement breastfeeding initiatives</t>
  </si>
  <si>
    <t xml:space="preserve">Build capacity of the health worforce (pre-service and in-service)  on breast feeding and appriopriate complementary feeding to ensure mothers have access to skilled support in intiating breastfeeding and sustaining appropriate feeding practices </t>
  </si>
  <si>
    <t>Ensure nutrition counselling during screening and growth monitoring by Health staffs with context specifc adapted SBCC materials</t>
  </si>
  <si>
    <t>Amend and enforce directive 30 &amp; 33/2016 on BMS code to reflect WHA69.9, then strengthen measures to control marketing of unhealthy foods for children</t>
  </si>
  <si>
    <t>government inspectors and children 0-24 months</t>
  </si>
  <si>
    <t>EFDA, EBA and regional bureau enforce the approved legislation</t>
  </si>
  <si>
    <t>UNICEF, WHO support financially and technically the government agencies to implement the legislation</t>
  </si>
  <si>
    <t>Link children with growth faltering (GMP and/or screening) to special care services such as distribution of SQ-LNS and LNS in emergencies</t>
  </si>
  <si>
    <t>children 6-24 months</t>
  </si>
  <si>
    <t>UNICEF, WFP lead the implementation with support of other civil society when required</t>
  </si>
  <si>
    <t>Roll out training of Comprehensive and Integrated Nutrition Services Delivery Guideline for the Pastoral and Agro-pastoral Communities</t>
  </si>
  <si>
    <t>children 6-59 months</t>
  </si>
  <si>
    <t>Advocate for Multisectoral approaches to support and enable access to basic services to Households with pregnant nd lacttaing women with focus on the 1000 days of life</t>
  </si>
  <si>
    <t>Nutrition sensitive and nutrition specific sectors</t>
  </si>
  <si>
    <t>Pregnant lactating women; Children 0-24 months</t>
  </si>
  <si>
    <t>UNICEF, UNHCR, WFP, WHO support financially and technically training and roll out
iNGO: support implementation where government service is facing disruption or bottlenecks
Rotaries: promote service to communities and appropriate practices</t>
  </si>
  <si>
    <t>Promote age-appropriate Infant and Young Child feeding and care practices and caregiver mental health are systematically integrated in routine maternal and child health care services, including in community-based services  such as linkage and engagement of health and agriculture sectors in awareness raising around appropriate complementary food</t>
  </si>
  <si>
    <t>regional health and agriculture bureau through their community workers</t>
  </si>
  <si>
    <t>FMOH and FMOA supervise program implemented by their regional bureaus</t>
  </si>
  <si>
    <t xml:space="preserve">Food </t>
  </si>
  <si>
    <t>Adopt/develop nutrition sensitive agriculture technologies and innovations to improve affordable access to fruits, vegetable and animal source foods for children aged 6-59 months</t>
  </si>
  <si>
    <t>regional agriculture bureau through their community workers</t>
  </si>
  <si>
    <t>FMOA  and regional bureau interact with farmers for post harvest solution to improve complementary feeding; potential industrial park corportion</t>
  </si>
  <si>
    <t>FAO, UNICEF,WFP support financially and technically the lead ministry
iNGO: support technical expertise on request basis</t>
  </si>
  <si>
    <t>Provide technical suport to smallholder farmers and their organizations to increase diversified food production, reduce post harvest loss  and supply to HGSF programme; and strengthen farmers cooperatives to supply quality and safe food to schools , educate schools on nutrition and food safety.</t>
  </si>
  <si>
    <t>Cooperative development Agencies, MoA &amp; BoAs</t>
  </si>
  <si>
    <t>SHFs, SHFs  Cooperative members, children at schools, school admins</t>
  </si>
  <si>
    <t xml:space="preserve">FMoE, FMA, FCA (Federal Cooperative Agency) </t>
  </si>
  <si>
    <t>Develop context specific and affordable complementary feeding recipes based on different agro-ecologies  and promote them through HEW and HAD</t>
  </si>
  <si>
    <t>FMOA, FMOH and its bureaus coordinate the innovation</t>
  </si>
  <si>
    <t>Provision of SBCC services for diversified complementary feeding in different plateforms (market, religious leaders, health and agriculture extension worker)</t>
  </si>
  <si>
    <t>Decentralization of market centers for nutritious foods (fruits, vegetables, ASF)</t>
  </si>
  <si>
    <t>social protection</t>
  </si>
  <si>
    <t xml:space="preserve"> IDPs/Refugees settlements </t>
  </si>
  <si>
    <t xml:space="preserve"> IDPs/Refugees </t>
  </si>
  <si>
    <t xml:space="preserve">Administration for Refugee &amp; Returnee Affairs (ARRA) will lead </t>
  </si>
  <si>
    <t xml:space="preserve">Implement SBCC activitities within PNSP5 woredas  to promote nutrition service and adequate feeding practices (eg:Deploy trained nutrition champion from public work) </t>
  </si>
  <si>
    <t xml:space="preserve">PSNP women with children 24-59 months </t>
  </si>
  <si>
    <t xml:space="preserve">FMOH and FMOA supervise program implemented </t>
  </si>
  <si>
    <t>Advocate for nutritious dense in-kind food ditribution or  diversified food prodution through livelihood pathways</t>
  </si>
  <si>
    <t>FMOA supervise livelihood compoenent  implementation</t>
  </si>
  <si>
    <t>OUTCOME 4. IMPROVED TREATMENT OF CHILDREN WITH WASTING BY STRENGTHENING HEALTH SYSTEMS AND INTEGRATING TREATMENT INTO ROUTINE PRIMARY HEALTH SERVICES</t>
  </si>
  <si>
    <t>By 2025, we will increase by 50% the coverage of treatment services for children with wasting (500,000 SAM and XX MAM in 2020)</t>
  </si>
  <si>
    <t>Increase treatment of severe acute malnutrition to 750,000 of children in need and 1.5 million for MAM</t>
  </si>
  <si>
    <t>at least 75,000 children treated as in-patient</t>
  </si>
  <si>
    <t>at least 675,000 children treated as out-patient</t>
  </si>
  <si>
    <t>OUTCOME 4:  OPERATIONAL FRAMEWORK</t>
  </si>
  <si>
    <t>Empower the mothers; women development army (WDA) leaders to detect a nd treat acutely wasted children under 2 years old who more at risk of mortality including in refugee camps</t>
  </si>
  <si>
    <t>Women development army and children under 5 years of age</t>
  </si>
  <si>
    <t>UNICEF,WFP,UNHCR, WHO support financially and technically training and roll out
iNGO: support implementation where government service is facing disruption or bottlenecks
Rotaries: promote service to communities and appropriate practices</t>
  </si>
  <si>
    <t>Strengthen the integration of early detection  ( like FMUAC and other initiatiatives) and treatment for wasting as part of routine primary and community health care services and ensure referral systems are in place for appropriate management of wasting in children</t>
  </si>
  <si>
    <t>health center staffs (hospitals, health centers and health post level)</t>
  </si>
  <si>
    <t>Regional health bureau and FMOH: lead training and follow-up</t>
  </si>
  <si>
    <t>Strengthen national health information systems (HMIS, DHIS2,  PHEM, IDSR) and  include MAM indicators to regularly monitor and report wasting and wasting-related data including during emergencies to support and inform the implementation of national services for its effective prevention and treatment</t>
  </si>
  <si>
    <t xml:space="preserve">Roll-out training on the new National Guidelines for the Management of Acute Malnutrition at Federal / Regional / Zonal / District / Community level </t>
  </si>
  <si>
    <t>Generate evidence on mainstreaming IMAM into Primary and Community Health Services</t>
  </si>
  <si>
    <t>health center staffs (hospitals, health centers and health post level) and policy makers</t>
  </si>
  <si>
    <t>Regional health bureau and FMOH: coordinate evidence generation</t>
  </si>
  <si>
    <t>UNICEF,WFP,UNHCR, WHO develop evidence generation mechanism and support cost of implementation
iNGO and/or local academic: generate evidence and present to authorities for policy changes</t>
  </si>
  <si>
    <t>Support simplify approach for the treatment of acute malnutrition at different stage and  evidence generation and adapt national guidelines</t>
  </si>
  <si>
    <t>health facilities, communities and universities</t>
  </si>
  <si>
    <t>children under 5 years of age and policy makers</t>
  </si>
  <si>
    <t>Regional Health bureau and FMOH: coordinate evidence generation and apply findings to new policy</t>
  </si>
  <si>
    <t>Integrate WASH message during treatment and follow-up visit</t>
  </si>
  <si>
    <t xml:space="preserve">care givers of children under 5 years of age </t>
  </si>
  <si>
    <t>FMOH; MOWIE</t>
  </si>
  <si>
    <t>Food (Management of specialized nutrition commodities)</t>
  </si>
  <si>
    <t>Support research and acceptability of new initaitives including the  Ready-to-Use Food formulations without milk powder at lower cost to inform evidence generation</t>
  </si>
  <si>
    <t>health facilities and private sectors</t>
  </si>
  <si>
    <t>FMOH, FMOIT: oversee the research</t>
  </si>
  <si>
    <t>Develop a mechanism to monitor safety, quality and adherance to standards for nutrition supplies for management of wasting; including end user monitoring</t>
  </si>
  <si>
    <t>all levels</t>
  </si>
  <si>
    <t>policy maker</t>
  </si>
  <si>
    <t>FMOH: oversee the results</t>
  </si>
  <si>
    <t xml:space="preserve">Promote enabling enviroment for quality  local production of specialized treatment commodities </t>
  </si>
  <si>
    <t xml:space="preserve">FMoA, FMOH; MoTI; investment comission </t>
  </si>
  <si>
    <t>Prvate sector</t>
  </si>
  <si>
    <t xml:space="preserve">FMoA, FMOH; MoTI; investment comission ; MoF; ESA; potential industrial park corportion </t>
  </si>
  <si>
    <t>Promote adequate nutrious food solution to avoid relapse after treatment and create evidence on its sustainability and affordability</t>
  </si>
  <si>
    <t>communities and health facilites</t>
  </si>
  <si>
    <t>children under 5 years of age</t>
  </si>
  <si>
    <t>FMOH and regional health bureau: coordinate the evidence and provide support of scalable at policy level</t>
  </si>
  <si>
    <t>Advocate for domestic funding for specialized nutrition commodities</t>
  </si>
  <si>
    <t>FMOH and Ministry of Economy and Finance: support the fiscal space analysis and lead the change</t>
  </si>
  <si>
    <t>UNICEF,WFP, WHO develop policy documents and advocate to ministries to additional local ressources
Donors continue to fill the gap on nutrition commodities</t>
  </si>
  <si>
    <t>Advocate for PSNP contingency budget to support children treated for wasting and support implementation within hotspot woredas 1 and 2</t>
  </si>
  <si>
    <t>community</t>
  </si>
  <si>
    <t xml:space="preserve">PS: FAO's Country Program Framework is under development; thus some priorities (strategic or geographic targeting) might change. </t>
  </si>
  <si>
    <t>Comments: the different crisis (Covid, Locust, Tigray war) might jeopardize the decrease observed between 2016 and 2019 and therefore the target for 2025 and 230 should be adapted once the 2021 DHS is implemented and published</t>
  </si>
  <si>
    <r>
      <t xml:space="preserve">The 2018 Global Human Development Report shows that Ethiopia is among countries with low Gender Development Index (ratio of female to male HDI values) scoring 0.846. Besides the urban poor, food insecurity is prevalent among the general population in rural areas, where the highest rates of malnutrition are found (similar to the malnutrition rates seen in IDP communities).  This is particularly the case in the Oromia region that continues to bear the highest burden of acute malnutrition (close to 40% of annual burden is in Oromia), more specifically in West Arsi Zone and East Hararge zone. In Somali region, the highest numbers of severely malnourished children are found in Korahe and Shabelle zones. In SNNP and Amhara regions, Gedeo and Wag Hamira zones respectively, are areas with the highest number of children affected by acute malnutrition. With the recent civil unrest in Tigray, many areas start also to report high prevalence of wasting across the different zones. 
As of the end 2020, nationwide, the number of children admitted for Severe Acute Malnutrition (SAM) treatment reached unprecedented levels, with more than 500,000 children with SAM admitted. In addition, over 2.4 million children, pregnant women, and nursing mothers, continued to face bouts of moderate acute malnutrition (MAM) and benefited from targeted supplementary feeding programming. Rural areas of Oromia and Somali Regions had the largest proportion of acute malnutrition in the country. 
Therefore, even if wasting is a national burden with its 22,000 health facilities delivering the treatment for severe acute malnutrition across the country, the focus will be given on the 226 woredas from the region of Oromia,  Somali, Afar, Amhara, SNNPR/Sidama and Tigray. Those regions represent 90% of the Ethiopia burden with Oromia and Amhara representing more than 50% of the national burden. The actual crisis in the Northern of Ethiopia (including Amhara, Afar and Amhara) is questioning the possibility to keep level of acute malnutrition below 10%.
</t>
    </r>
    <r>
      <rPr>
        <b/>
        <sz val="12"/>
        <rFont val="Calibri"/>
        <family val="2"/>
        <scheme val="minor"/>
      </rPr>
      <t>Why Amhara?</t>
    </r>
    <r>
      <rPr>
        <sz val="12"/>
        <rFont val="Calibri"/>
        <family val="2"/>
        <scheme val="minor"/>
      </rPr>
      <t xml:space="preserve">  Despite progress, Amhara has the third highest monetary poverty rate in the country. The headcount poverty rate stands at 26 per cent compared to a national average of 24 per cent. The food poverty rate in Amhara is the second highest of all regions, at 31 per cent.  The wasting rate is slightly higher than the national average and has shown only marginal improvements since 2011 and therfore accounts to a significant of the annual burden of children being admitted for wasting. In 2016, The proportion of children (aged 6-23 months) who were fed an MDD was only 3 per cent, the second lowest in Ethiopia after Afar region.  
</t>
    </r>
    <r>
      <rPr>
        <b/>
        <sz val="12"/>
        <rFont val="Calibri"/>
        <family val="2"/>
        <scheme val="minor"/>
      </rPr>
      <t xml:space="preserve">Why Somali? </t>
    </r>
    <r>
      <rPr>
        <sz val="12"/>
        <rFont val="Calibri"/>
        <family val="2"/>
        <scheme val="minor"/>
      </rPr>
      <t xml:space="preserve">Somali Regional State, which is approximately 350,000 square kilometres, is the second largest region in Ethiopia after Oromia in terms of land mass. As of March 2019, Somali region had by far the highest number of displaced persons in the country; in total 1,172,686 persons of whom 825,107 were displaced because of conflict, 15,564 because of flooding and 332,015 because of drought. Flash flooding in low-lying areas is a frequent problem that damages crops, leads to drowning of people and livestock, destroys infrastructure, facilitates water-born-diseases, and causes displacements. Somali is the only region in Ethiopia where the rate of urban people in poverty is higher than that of rural people, 23% vs 22%, respectively. The same applies to food poverty: 29% vs 23%.
</t>
    </r>
    <r>
      <rPr>
        <b/>
        <sz val="12"/>
        <rFont val="Calibri"/>
        <family val="2"/>
        <scheme val="minor"/>
      </rPr>
      <t>Why Afar?</t>
    </r>
    <r>
      <rPr>
        <sz val="12"/>
        <rFont val="Calibri"/>
        <family val="2"/>
        <scheme val="minor"/>
      </rPr>
      <t xml:space="preserve"> Over 90% of the Afar community have a pastoralist livelihood system. They are highly dependent on extensive livestock production; there is a lack of other employment or even minimum existence opportunities. Their mobile lifestyles are associated with very limited and often difficult and expensive access to social services. There is increasing environmental degradation and vulnerability to drought and flooding, exacerbated by climate change, and interacting with other factors to cause disease outbreaks, pressure and conflicts over resources such as water and grazing land.  There are both recurrent and prolonged emergency situations in Afar region. The decline in food poverty has not been as strong and was 28%; the third highest of all regions. UNOCHA assessed that, in numbers, Afar region takes the fourth place among the regions when it comes to most repeated recipients of relief food (woredas with people needing relief food at least nine times between 2013 and 2018). In total, there were 105,185 recipients of food aid, of whom 95,140 have pastoralism as their main livelihood system.
</t>
    </r>
    <r>
      <rPr>
        <b/>
        <sz val="12"/>
        <rFont val="Calibri"/>
        <family val="2"/>
        <scheme val="minor"/>
      </rPr>
      <t xml:space="preserve">Why Tigray? </t>
    </r>
    <r>
      <rPr>
        <sz val="12"/>
        <rFont val="Calibri"/>
        <family val="2"/>
        <scheme val="minor"/>
      </rPr>
      <t xml:space="preserve">The overall situation in Tigray, particularly in Central, North Western and Southern zones, is volatile as fighting intensifies and poses logistical constraints in delivering humanitarian assistance and reaching several woredas and affected people across the region. In the first week of March 2020, a rapid emergency nutrition assessment was conducted in the six woredas of Raya Azebo, Endmohoni, Hintalo, Enderta, K/awlalo and Sada emba. Preliminary results show that proxy SAM and proxy GAM are above WHO’s global emergency threshold and therefore will need intensive over the coming years to prevent even more acutely malnourished children and pregnant women.There is no no preliminary assessments done of the current indicative wasting prevalence . The fluid and dynamic operating context of the Tigray region  the effect of the SEQOTA declaration initiatives  and negative impact with the ongoing geopolitical situation
</t>
    </r>
    <r>
      <rPr>
        <b/>
        <sz val="12"/>
        <rFont val="Calibri"/>
        <family val="2"/>
        <scheme val="minor"/>
      </rPr>
      <t xml:space="preserve">Why Oromia? </t>
    </r>
    <r>
      <rPr>
        <sz val="12"/>
        <rFont val="Calibri"/>
        <family val="2"/>
        <scheme val="minor"/>
      </rPr>
      <t xml:space="preserve">The United Nations Office for the Coordination of Humanitarian Affairs (UNOCHA) assessed that in Oromia region, most repeated beneficiaries of relief food - relief food needs of at least nine times between 2013 and 2018 - rely on crop farming for their livelihood (a minimum of 251,597 beneficiaries). In second place are beneficiaries with an agro-pastoral livelihood system (a minimum of 55,227 repeated beneficiaries). Third are beneficiaries whose livelihood system is pastoral (a minimum of 37,065 repeated beneficiaries). In absolute numbers, Oromia region has the most repeated beneficiaries in Ethiopia. Especially between 2016 and 2018, the number of relief food beneficiaries was very high due to extreme droughts (1,273,899 beneficiaries). As of March 2019, the region hosts 859,313 internally displaced persons (IDPs) due to climatic shocks and conflicts. This puts additional pressure on the food security situation of host communities.
</t>
    </r>
    <r>
      <rPr>
        <b/>
        <sz val="12"/>
        <rFont val="Calibri"/>
        <family val="2"/>
        <scheme val="minor"/>
      </rPr>
      <t xml:space="preserve">Why SNNPR/Sidama? </t>
    </r>
    <r>
      <rPr>
        <sz val="12"/>
        <rFont val="Calibri"/>
        <family val="2"/>
        <scheme val="minor"/>
      </rPr>
      <t xml:space="preserve">Although the prevalence of wasting was the minimum (6.3%), the most ethnically diverse region remains volatile as a result of political demands by ethnic minorities and protracted socio-political unrest which have been displacing people and adding strain on the most vulnerable (for example, inter-community violence in Konso and adjacent woredas displaced over 100,000 people in November 2020). On top of that, the COVID-19 impact coupled with the recurrent droughts in the region could worsen food insecurity and thereby nutrition. Despite most of the activities will be focusing in those 4 provinces, activities to improved the access of nutritious food through the food system will need to be implemented in region like Sidama and SNNPR. </t>
    </r>
  </si>
  <si>
    <t>2021 National Food and Nutrition Strategy (2021-2030 NFNS) and National  Food and Nutrition Policy of ethiopia (2018) including:
Strategic initiative 4.1.1: Improve quality and coverage of nutrition services for pre-pregnant and pregnant women
Strategic initiative 4.1.3: Improve the nutritional status of pregnant and lactating women under PSNP (should be under SP)
Strategic initiative 4.1.4: Strengthening women’s economic control, ability to have equitable decision-making power and creating conducive working environments for PLW to improve nutritional status
Strategic initiative 4.6.1: Provide nutritional assessments and counseling services for adolescents at all contact levels</t>
  </si>
  <si>
    <t xml:space="preserve">2020 ENFNS: Strategic direction 1.2 improve accessibility of adequate diversified safe and nutritious food to all citizens and all initiatives addressing food safety issues </t>
  </si>
  <si>
    <t>Productive Safety Net Program phase 5 (PSNP5) 2020 - 2025, Design Document, November 2020; and  Strategic initiative 4.1.3: Improve the nutritional status of pregnant and lactating women under PSNP  of the 2021 National Food and Nutrition Strategy (2021-2030 NFNS)</t>
  </si>
  <si>
    <t>2020 ENFNS: 
Strategic initiative 1.1.1 Enhance nutrient rich food crops production and productivity by using improved agricultural technologies and practices
Strategic initiative 1.1.2 Enhance animal production and productivity  
Strategic initiative 1.1.10 Strengthen the capacity of the agriculture sector to mainstream nutrition
Strategic Initiative 7  Promote the implementation of School Health and Nutrition programs to improve nutritional status of school children.</t>
  </si>
  <si>
    <t>2020 ENFNS: Strategic initiative 4.3.4: Prevent and control micronutrient deficiencies in 6-23 months old children</t>
  </si>
  <si>
    <r>
      <t xml:space="preserve">UNICEF,WFP, WHO , </t>
    </r>
    <r>
      <rPr>
        <sz val="12"/>
        <color rgb="FFFF0000"/>
        <rFont val="Calibri"/>
        <family val="2"/>
        <scheme val="minor"/>
      </rPr>
      <t xml:space="preserve">FAO </t>
    </r>
    <r>
      <rPr>
        <sz val="12"/>
        <rFont val="Calibri"/>
        <family val="2"/>
        <scheme val="minor"/>
      </rPr>
      <t>support financially and technically the lead ministry
iNGO: support implementation of SBCC campaigns within schools
Rotaries, charitable groups: support several targeted schools but follow national recommendation</t>
    </r>
  </si>
  <si>
    <r>
      <t xml:space="preserve">UNICEF,WFP, WHO; </t>
    </r>
    <r>
      <rPr>
        <sz val="12"/>
        <color rgb="FFFF0000"/>
        <rFont val="Calibri"/>
        <family val="2"/>
        <scheme val="minor"/>
      </rPr>
      <t>FAO</t>
    </r>
    <r>
      <rPr>
        <sz val="12"/>
        <rFont val="Calibri"/>
        <family val="2"/>
        <scheme val="minor"/>
      </rPr>
      <t xml:space="preserve"> support financially and technically the lead ministry
iNGO: support implementation of community sensibilization
Rotaries, charitable groups: sensitize their communities</t>
    </r>
  </si>
  <si>
    <t>2020 Ethiopia National Food and Nutrition Strategy (2020 ENFNS) including:
Strategic initiative 4.3.2: Promote and ensure monthly growth monitoring and counseling for all mothers with children aged 6-23 months
Strategic initiative 4.3.4: Prevent and control micronutrient deficiencies in 6-23 months old children
Strategic initiative 4.3.7: Prevent and control micronutrient deficiencies among children 24-59 months old
Strategic initiative 4.4.3: Develop and enforce minimum standards on nutritional services for young children in special situations (refugee camps, IDPs, disabled children, street children, orphanages and neglected children). 
Strategic initiative 4.3.8: Strengthen a system that can timely detect and manage acute malnutrition among children 24-59 months old</t>
  </si>
  <si>
    <t>2021 ENFNS: Strategic initiative 1.1.5: Strengthen the linkage among food value chain actors &amp; Strategic initiative 2.1.2: Strengthen post-harvest food safety and quality assurance system</t>
  </si>
  <si>
    <t xml:space="preserve">2020 ENFNS: Strategic direction 4.6: Improve nutritional status of adolescents 10-19 years of age </t>
  </si>
  <si>
    <t>2020 ENFNS: Strategic initiative 7.1.2: Promote adoption of good hygiene behaviour and sanitation practices through awareness raising, eliminating open defecation practices and enhancing environmental sanitation to control WASH related communicable diseases transmission</t>
  </si>
  <si>
    <t>2020 ENFNS: Initiave 7.1: imporve nutriton through provision of adequate WASH services</t>
  </si>
  <si>
    <t>2020 ENFNS: Strategic initiative 2.2.13: Establish and implement promotion and advocacy strategies that ensure food safety and quality literacy &amp; Strategic Iinitiative 4.7.2: Provide behaviour change communication to improve nutritional status of adults &amp; Strategic initiative 7.1.2: Promote adoption of good hygiene behaviour and sanitation practices through awareness raising, eliminating open defecation practices and enhancing environmental sanitation to control WASH related communicable diseases transmission</t>
  </si>
  <si>
    <t xml:space="preserve">Operational Accelerator for: </t>
  </si>
  <si>
    <t xml:space="preserve">2020 Ethiopia National Food and Nutrition Strategy (2020 ENFNS) including:
Strategic initiative 4.1.2: Improve quality and coverage of nutrition services for lactating mothers
Strategic initiative 4.3.5: Strengthen a system for prevention and management of acute malnutrition in children 6-23 months of age
Strategic initiative 4.4.3: Develop and enforce minimum standards on nutritional services for young children in special situations (refugee camps, IDPs, disabled children, street children, orphanages and neglected children)
Strategic initiative 5.1.1: Strengthen the capacity of facilities and health professionals to deliver quality and standard nutrition services to people liv¬ing with infectious diseases (HIV, TB, new-born and childhood infections or other infections).
</t>
  </si>
  <si>
    <t>2020 ENFNS: Strategic initiative 1.1.10: Strengthen the capacity of the agriculture sector to mainstream nutrition
2020 ENFNS: Strategic initiative 1.1.11: Adopt/develop and promote small scale/homestead food processing to ensure year-round availability of food
harminze activiteis with outcome 1</t>
  </si>
  <si>
    <t>2020 ENFNS:  Strategic Initiative 2: Initiatives to improve nutritional status of IDPs/Refugees</t>
  </si>
  <si>
    <t>Productive Safety Net Program phase 5 (PSNP5) 2020 - 2025, Design Document, November 2020</t>
  </si>
  <si>
    <t>Provide livelihood support to IDPs and returnees, hosting communities; refugees</t>
  </si>
  <si>
    <t xml:space="preserve">2020 Ethiopia National Food and Nutrition Strategy (2020 ENFNS) including:
Strategic initiative 4.2.5: Management of acute malnutrition among infants under 0-5 months (180 days)
Strategic initiative 4.4.3: Develop and enforce minimum standards on nutritional services for young children in special situations (refugee camps, IDPs, disabled children, street children, orphanages and neglected children)
Strategic initiative 4.3.5: Strengthen a system for prevention and management of acute malnutrition in children 6-23 months of age
Strategic initiative 4.3.8: Strengthen a system that can timely detect and manage acute malnutrition among children 24-59 months old
Strategic initiative 5.1.1: Strengthen the capacity of facilities and health professionals to deliver quality and standard nutrition services to people living with infectious diseases (HIV, TB, new-born and childhood infections orand other infections). </t>
  </si>
  <si>
    <r>
      <t xml:space="preserve">Institutional level and communities
</t>
    </r>
    <r>
      <rPr>
        <sz val="12"/>
        <color theme="1"/>
        <rFont val="Calibri"/>
        <family val="2"/>
        <scheme val="minor"/>
      </rPr>
      <t>PSNP; microfinance institutions</t>
    </r>
  </si>
  <si>
    <t>Current National % of Low-Birth-Weight newborns 
(2020 or most recent data)</t>
  </si>
  <si>
    <t>Current National Universal Health Coverage Index 
(2020 or most recent data)</t>
  </si>
  <si>
    <r>
      <t xml:space="preserve">National % Exclusive breastfeeding under 6 months 
</t>
    </r>
    <r>
      <rPr>
        <i/>
        <sz val="12"/>
        <rFont val="Calibri"/>
        <family val="2"/>
        <scheme val="minor"/>
      </rPr>
      <t>(2020 or most recent data)</t>
    </r>
  </si>
  <si>
    <t>National Coverage:  Management of severe acute malnutrition (SAM) – Inpatient 
(2020 or most recent data)</t>
  </si>
  <si>
    <t>National Coverage:  Management of severe acute malnutrition (SAM) – Outpatient 
(2020 or most recent data)</t>
  </si>
  <si>
    <t>The GAP Operational Roadmap</t>
  </si>
  <si>
    <t>Budget and Population Targets</t>
  </si>
  <si>
    <t>COUNTRY:  Ethiopia</t>
  </si>
  <si>
    <r>
      <t xml:space="preserve">SYSTEM </t>
    </r>
    <r>
      <rPr>
        <b/>
        <sz val="9"/>
        <color theme="0"/>
        <rFont val="Calibri (Body)"/>
      </rPr>
      <t xml:space="preserve">
</t>
    </r>
    <r>
      <rPr>
        <sz val="9"/>
        <color theme="0"/>
        <rFont val="Calibri (Body)"/>
      </rPr>
      <t>(Health, Food, WASH, Social Protection)</t>
    </r>
  </si>
  <si>
    <t xml:space="preserve">PRIORITY ACTION </t>
  </si>
  <si>
    <t>YEARLY TARGET POPULATION</t>
  </si>
  <si>
    <t xml:space="preserve">TOTAL (max. 5 year)
</t>
  </si>
  <si>
    <t xml:space="preserve">Remark </t>
  </si>
  <si>
    <t>U2</t>
  </si>
  <si>
    <t>U5</t>
  </si>
  <si>
    <t>Other (specify)</t>
  </si>
  <si>
    <t>Outcome 1:  Reduced incidence of Low Birth Weight</t>
  </si>
  <si>
    <t>health</t>
  </si>
  <si>
    <t xml:space="preserve">Values are aproxx </t>
  </si>
  <si>
    <t>-</t>
  </si>
  <si>
    <t>PLW' s approx. 350,000 including 14,189 refugees</t>
  </si>
  <si>
    <t>approx. 350,000 including 14,189 refugees</t>
  </si>
  <si>
    <t xml:space="preserve">Provide Multiple Micronutrient supplements and SQLNS tto women and adolescents girls during pregnancy
</t>
  </si>
  <si>
    <t>food</t>
  </si>
  <si>
    <t>strengthen the linkages among food VC actors</t>
  </si>
  <si>
    <t xml:space="preserve">Promote and avail home grown school feeding program for school aged children and adolescents through promoting school gardening and strengthening school-community linkage in collaboration with FTCs/PTCs to produce diversified food items </t>
  </si>
  <si>
    <t>240 schools=
136,000 school aged children and adolesents</t>
  </si>
  <si>
    <t xml:space="preserve">Feeding programmes for prevention(in high risk populations) and Treatment of moderate acute  malnutrition(in PLWs) </t>
  </si>
  <si>
    <t>approx. 39,000 PLWs and 14,189 refugee</t>
  </si>
  <si>
    <t>Advocate for Advocate for Adolescent school Nutrition and feeding programs in Academic institutions</t>
  </si>
  <si>
    <t>Values are aprox</t>
  </si>
  <si>
    <t xml:space="preserve">Target the poorest of PSNP clients and vulnerable refugee households  with livelihood grants </t>
  </si>
  <si>
    <t>TBD</t>
  </si>
  <si>
    <t>Subtotal:</t>
  </si>
  <si>
    <t>Outcome 2:  Improved Child Health</t>
  </si>
  <si>
    <t>heakth</t>
  </si>
  <si>
    <t>Strengthen growth monitoring and promotion for children under 5 years, screening of under-twos and referal system for acutely malnourished children</t>
  </si>
  <si>
    <t>approx. 3 million including 53,762 refugess</t>
  </si>
  <si>
    <t>Implement high impact nutrition interventions including early breastfeeding and supplementation (vitamin A and deworming prophylaxis)</t>
  </si>
  <si>
    <t>see above line within outcome 1</t>
  </si>
  <si>
    <t>Provide full  WASH package for priority areas and collaborating with ONE WASH</t>
  </si>
  <si>
    <t>Outcome 3:  Improved Infant and Young Child Feeding</t>
  </si>
  <si>
    <t>approx.  2.5 million including 53,762 refugees</t>
  </si>
  <si>
    <t>stregthen the capacity and numbers of health facilities in provision of Baby friendly Hospital Initiative (BFHI) to increase early initiation and exclusive breastfeeding rates and adequate complementary feeding and hygiene practices</t>
  </si>
  <si>
    <t>100k for all 80 woredas for each year</t>
  </si>
  <si>
    <t xml:space="preserve">5 </t>
  </si>
  <si>
    <t>Link children with growth faltering (GMP and/or screening) to special care services such as distribution of SQ-LNS</t>
  </si>
  <si>
    <t>Adopt/develop nutrition sensitive agriculture technologies and innovations increasing affordable access to fruits, vegetable and animal source foods for children aged 6-59 months</t>
  </si>
  <si>
    <t xml:space="preserve">Provision of SBCC services for diversified complementary feeding </t>
  </si>
  <si>
    <t>Provide livelihood support to IDPs and returnees</t>
  </si>
  <si>
    <t>Outcome 4:  Improved treatment of children with wasting</t>
  </si>
  <si>
    <t># of research</t>
  </si>
  <si>
    <t>Support research and acceptability of new Ready-to-Use Food formulations without milk powder at lower cost</t>
  </si>
  <si>
    <t>research</t>
  </si>
  <si>
    <t>monitoring</t>
  </si>
  <si>
    <t>Promote adequate nutrition solution to avoid relapse after treatment and create evidence on its sustainability and affordability</t>
  </si>
  <si>
    <t>TOTAL:</t>
  </si>
  <si>
    <t xml:space="preserve"> Target Population </t>
  </si>
  <si>
    <t>region</t>
  </si>
  <si>
    <t># of woredas</t>
  </si>
  <si>
    <t># 0-6 mo</t>
  </si>
  <si>
    <t># 6-24 mo</t>
  </si>
  <si>
    <t># 6-59 mo</t>
  </si>
  <si>
    <t>SNNPR</t>
  </si>
  <si>
    <r>
      <t xml:space="preserve">UNIT COST in US$
</t>
    </r>
    <r>
      <rPr>
        <sz val="8"/>
        <color theme="0"/>
        <rFont val="Calibri (Body)"/>
      </rPr>
      <t>(for the calbulation)</t>
    </r>
  </si>
  <si>
    <t># of unit or year</t>
  </si>
  <si>
    <t>UNIT COST Per year</t>
  </si>
  <si>
    <t>Values are aprox, 4 campaigns reaching 5 million each time</t>
  </si>
  <si>
    <t>Treatment of Wasting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</si>
</sst>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_);\(#,##0.0\)"/>
  </numFmts>
  <fonts count="37">
    <font>
      <sz val="12"/>
      <color theme="1"/>
      <name val="Calibri"/>
      <family val="2"/>
      <scheme val="minor"/>
    </font>
    <font>
      <sz val="12"/>
      <color theme="1"/>
      <name val="Calibri"/>
      <family val="2"/>
      <scheme val="minor"/>
    </font>
    <font>
      <sz val="12"/>
      <color rgb="FFFF0000"/>
      <name val="Calibri"/>
      <family val="2"/>
      <scheme val="minor"/>
    </font>
    <font>
      <sz val="12"/>
      <color theme="0"/>
      <name val="Calibri"/>
      <family val="2"/>
      <scheme val="minor"/>
    </font>
    <font>
      <b/>
      <sz val="28"/>
      <name val="Helvetica Bold"/>
    </font>
    <font>
      <sz val="12"/>
      <name val="Calibri"/>
      <family val="2"/>
      <scheme val="minor"/>
    </font>
    <font>
      <b/>
      <sz val="20"/>
      <name val="Helvetica"/>
      <family val="2"/>
    </font>
    <font>
      <b/>
      <sz val="24"/>
      <name val="Calibri"/>
      <family val="2"/>
      <scheme val="minor"/>
    </font>
    <font>
      <b/>
      <sz val="16"/>
      <name val="Helvetica Bold"/>
    </font>
    <font>
      <sz val="12"/>
      <name val="Helvetica Light"/>
    </font>
    <font>
      <b/>
      <sz val="12"/>
      <name val="Helvetica Light"/>
    </font>
    <font>
      <i/>
      <sz val="12"/>
      <name val="Helvetica Light Oblique"/>
    </font>
    <font>
      <b/>
      <sz val="14"/>
      <name val="Helvetica Light"/>
    </font>
    <font>
      <sz val="12"/>
      <name val="Times New Roman"/>
      <family val="1"/>
    </font>
    <font>
      <b/>
      <i/>
      <sz val="10"/>
      <name val="Helvetica Light"/>
    </font>
    <font>
      <sz val="14"/>
      <name val="Calibri"/>
      <family val="2"/>
      <scheme val="minor"/>
    </font>
    <font>
      <b/>
      <sz val="12"/>
      <name val="Calibri"/>
      <family val="2"/>
      <scheme val="minor"/>
    </font>
    <font>
      <strike/>
      <sz val="12"/>
      <name val="Calibri"/>
      <family val="2"/>
      <scheme val="minor"/>
    </font>
    <font>
      <i/>
      <sz val="12"/>
      <name val="Calibri"/>
      <family val="2"/>
      <scheme val="minor"/>
    </font>
    <font>
      <i/>
      <sz val="12"/>
      <name val="Times New Roman"/>
      <family val="1"/>
    </font>
    <font>
      <b/>
      <sz val="12"/>
      <color theme="0"/>
      <name val="Calibri"/>
      <family val="2"/>
      <scheme val="minor"/>
    </font>
    <font>
      <sz val="28"/>
      <name val="Calibri"/>
      <family val="2"/>
      <scheme val="minor"/>
    </font>
    <font>
      <sz val="18"/>
      <name val="Calibri"/>
      <family val="2"/>
      <scheme val="minor"/>
    </font>
    <font>
      <b/>
      <sz val="16"/>
      <name val="Calibri"/>
      <family val="2"/>
      <scheme val="minor"/>
    </font>
    <font>
      <b/>
      <sz val="9"/>
      <color theme="0"/>
      <name val="Calibri (Body)"/>
    </font>
    <font>
      <sz val="9"/>
      <color theme="0"/>
      <name val="Calibri (Body)"/>
    </font>
    <font>
      <sz val="8"/>
      <color theme="0"/>
      <name val="Calibri (Body)"/>
    </font>
    <font>
      <b/>
      <sz val="9"/>
      <color theme="0"/>
      <name val="Calibri"/>
      <family val="2"/>
      <scheme val="minor"/>
    </font>
    <font>
      <sz val="10"/>
      <name val="Calibri"/>
      <family val="2"/>
      <scheme val="minor"/>
    </font>
    <font>
      <sz val="9"/>
      <name val="Calibri"/>
      <family val="2"/>
      <scheme val="minor"/>
    </font>
    <font>
      <b/>
      <sz val="16"/>
      <color rgb="FFFF0000"/>
      <name val="Calibri"/>
      <family val="2"/>
      <scheme val="minor"/>
    </font>
    <font>
      <sz val="16"/>
      <name val="Calibri"/>
      <family val="2"/>
      <scheme val="minor"/>
    </font>
    <font>
      <i/>
      <sz val="8"/>
      <name val="Calibri"/>
      <family val="2"/>
      <scheme val="minor"/>
    </font>
    <font>
      <sz val="14"/>
      <color rgb="FF000000"/>
      <name val="Calibri"/>
      <family val="2"/>
    </font>
    <font>
      <b/>
      <sz val="12"/>
      <color rgb="FFFFFFFF"/>
      <name val="Calibri"/>
      <family val="2"/>
    </font>
    <font>
      <b/>
      <sz val="10"/>
      <color rgb="FF000000"/>
      <name val="Tahoma"/>
      <family val="2"/>
    </font>
    <font>
      <sz val="10"/>
      <color rgb="FF000000"/>
      <name val="Tahoma"/>
      <family val="2"/>
    </font>
  </fonts>
  <fills count="17">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0"/>
        <bgColor indexed="64"/>
      </patternFill>
    </fill>
    <fill>
      <patternFill patternType="solid">
        <fgColor theme="4"/>
        <bgColor indexed="64"/>
      </patternFill>
    </fill>
    <fill>
      <patternFill patternType="solid">
        <fgColor rgb="FF002060"/>
        <bgColor indexed="64"/>
      </patternFill>
    </fill>
    <fill>
      <patternFill patternType="solid">
        <fgColor theme="8" tint="0.59999389629810485"/>
        <bgColor indexed="64"/>
      </patternFill>
    </fill>
    <fill>
      <patternFill patternType="solid">
        <fgColor rgb="FFFFFF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C000"/>
        <bgColor indexed="64"/>
      </patternFill>
    </fill>
  </fills>
  <borders count="6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0" fontId="3"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3"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346">
    <xf numFmtId="0" fontId="0" fillId="0" borderId="0" xfId="0"/>
    <xf numFmtId="0" fontId="5" fillId="0" borderId="0" xfId="0" applyFont="1"/>
    <xf numFmtId="0" fontId="8" fillId="0" borderId="0" xfId="0" applyFont="1" applyAlignment="1">
      <alignment vertical="center"/>
    </xf>
    <xf numFmtId="0" fontId="12" fillId="2" borderId="2" xfId="1" applyFont="1" applyBorder="1" applyAlignment="1">
      <alignment horizontal="center"/>
    </xf>
    <xf numFmtId="0" fontId="13" fillId="0" borderId="0" xfId="0" applyFont="1"/>
    <xf numFmtId="0" fontId="11" fillId="0" borderId="0" xfId="0" applyFont="1" applyAlignment="1">
      <alignment horizontal="left"/>
    </xf>
    <xf numFmtId="0" fontId="5" fillId="0" borderId="0" xfId="0" applyFont="1" applyAlignment="1">
      <alignment horizontal="left"/>
    </xf>
    <xf numFmtId="0" fontId="5" fillId="8" borderId="0" xfId="0" applyFont="1" applyFill="1"/>
    <xf numFmtId="0" fontId="5" fillId="8" borderId="4" xfId="0" applyFont="1" applyFill="1" applyBorder="1" applyAlignment="1">
      <alignment horizontal="left" vertical="center" wrapText="1"/>
    </xf>
    <xf numFmtId="0" fontId="5" fillId="8" borderId="4" xfId="0" applyFont="1" applyFill="1" applyBorder="1" applyAlignment="1">
      <alignment horizontal="left" vertical="top" wrapText="1"/>
    </xf>
    <xf numFmtId="0" fontId="5" fillId="8" borderId="4" xfId="0" applyFont="1" applyFill="1" applyBorder="1" applyAlignment="1">
      <alignment horizontal="center" vertical="center" wrapText="1"/>
    </xf>
    <xf numFmtId="0" fontId="5" fillId="0" borderId="4" xfId="0" applyFont="1" applyBorder="1" applyAlignment="1">
      <alignment vertical="top" wrapText="1"/>
    </xf>
    <xf numFmtId="0" fontId="5" fillId="8" borderId="4" xfId="0" applyFont="1" applyFill="1" applyBorder="1" applyAlignment="1">
      <alignment vertical="top" wrapText="1"/>
    </xf>
    <xf numFmtId="0" fontId="17" fillId="8" borderId="4" xfId="0" applyFont="1" applyFill="1" applyBorder="1" applyAlignment="1">
      <alignment horizontal="left" vertical="top" wrapText="1"/>
    </xf>
    <xf numFmtId="0" fontId="5" fillId="8" borderId="6" xfId="0" applyFont="1" applyFill="1" applyBorder="1" applyAlignment="1">
      <alignment vertical="top" wrapText="1"/>
    </xf>
    <xf numFmtId="0" fontId="5" fillId="8" borderId="6" xfId="0" applyFont="1" applyFill="1" applyBorder="1" applyAlignment="1">
      <alignment horizontal="left" vertical="top" wrapText="1"/>
    </xf>
    <xf numFmtId="0" fontId="5" fillId="8" borderId="4" xfId="0" applyFont="1" applyFill="1" applyBorder="1" applyAlignment="1">
      <alignment vertical="center" wrapText="1"/>
    </xf>
    <xf numFmtId="0" fontId="5" fillId="8" borderId="4" xfId="0" applyFont="1" applyFill="1" applyBorder="1" applyAlignment="1">
      <alignment horizontal="center" vertical="top" wrapText="1"/>
    </xf>
    <xf numFmtId="0" fontId="5" fillId="0" borderId="4" xfId="0" applyFont="1" applyBorder="1" applyAlignment="1">
      <alignment horizontal="left" vertical="top" wrapText="1"/>
    </xf>
    <xf numFmtId="0" fontId="8" fillId="0" borderId="0" xfId="0" applyFont="1"/>
    <xf numFmtId="0" fontId="13" fillId="0" borderId="0" xfId="0" applyFont="1" applyAlignment="1">
      <alignment vertical="center" wrapText="1"/>
    </xf>
    <xf numFmtId="0" fontId="19" fillId="0" borderId="0" xfId="0" applyFont="1" applyAlignment="1">
      <alignment vertical="center" wrapText="1"/>
    </xf>
    <xf numFmtId="0" fontId="5" fillId="0" borderId="4" xfId="0" applyFont="1" applyBorder="1" applyAlignment="1">
      <alignment horizontal="center" vertical="center" wrapText="1"/>
    </xf>
    <xf numFmtId="0" fontId="2" fillId="0" borderId="0" xfId="0" applyFont="1"/>
    <xf numFmtId="0" fontId="5" fillId="8" borderId="6" xfId="0" applyFont="1" applyFill="1" applyBorder="1" applyAlignment="1">
      <alignment horizontal="center" vertical="top" wrapText="1"/>
    </xf>
    <xf numFmtId="0" fontId="9" fillId="0" borderId="0" xfId="4" applyFont="1" applyFill="1" applyBorder="1" applyAlignment="1">
      <alignment horizontal="left" vertical="center" wrapText="1"/>
    </xf>
    <xf numFmtId="0" fontId="9" fillId="0" borderId="0" xfId="0" applyFont="1" applyAlignment="1">
      <alignment wrapText="1"/>
    </xf>
    <xf numFmtId="0" fontId="5" fillId="0" borderId="0" xfId="0" applyFont="1" applyAlignment="1">
      <alignment horizontal="left" vertical="top"/>
    </xf>
    <xf numFmtId="0" fontId="9" fillId="0" borderId="0" xfId="0" applyFont="1" applyAlignment="1">
      <alignment horizontal="left" vertical="top"/>
    </xf>
    <xf numFmtId="0" fontId="9" fillId="0" borderId="0" xfId="0" applyFont="1" applyAlignment="1">
      <alignment horizontal="center"/>
    </xf>
    <xf numFmtId="0" fontId="15" fillId="0" borderId="0" xfId="0" applyFont="1"/>
    <xf numFmtId="0" fontId="10" fillId="2" borderId="7" xfId="1" applyFont="1" applyBorder="1" applyAlignment="1">
      <alignment horizontal="center" vertical="center" wrapText="1"/>
    </xf>
    <xf numFmtId="0" fontId="10" fillId="2" borderId="8" xfId="1" applyFont="1" applyBorder="1" applyAlignment="1">
      <alignment horizontal="center" vertical="center" wrapText="1"/>
    </xf>
    <xf numFmtId="0" fontId="5" fillId="0" borderId="3" xfId="0" applyFont="1" applyBorder="1"/>
    <xf numFmtId="10" fontId="5" fillId="0" borderId="4" xfId="0" applyNumberFormat="1" applyFont="1" applyBorder="1" applyAlignment="1">
      <alignment horizontal="center" wrapText="1"/>
    </xf>
    <xf numFmtId="0" fontId="12" fillId="2" borderId="16" xfId="1" applyFont="1" applyBorder="1" applyAlignment="1">
      <alignment horizontal="center"/>
    </xf>
    <xf numFmtId="0" fontId="5" fillId="0" borderId="19" xfId="0" applyFont="1" applyBorder="1" applyAlignment="1">
      <alignment horizontal="center" vertical="center" wrapText="1"/>
    </xf>
    <xf numFmtId="0" fontId="5" fillId="0" borderId="5" xfId="0" applyFont="1" applyBorder="1"/>
    <xf numFmtId="10" fontId="5" fillId="0" borderId="6" xfId="0" applyNumberFormat="1" applyFont="1" applyBorder="1" applyAlignment="1">
      <alignment horizontal="center" wrapText="1"/>
    </xf>
    <xf numFmtId="0" fontId="5" fillId="0" borderId="21" xfId="0" applyFont="1" applyBorder="1" applyAlignment="1">
      <alignment horizontal="center" vertical="center" wrapText="1"/>
    </xf>
    <xf numFmtId="0" fontId="17" fillId="8" borderId="4" xfId="0" applyFont="1" applyFill="1" applyBorder="1" applyAlignment="1">
      <alignment horizontal="center" vertical="top" wrapText="1"/>
    </xf>
    <xf numFmtId="0" fontId="5" fillId="3" borderId="4" xfId="2" applyFont="1" applyBorder="1" applyAlignment="1">
      <alignment horizontal="center" wrapText="1"/>
    </xf>
    <xf numFmtId="0" fontId="1" fillId="8" borderId="4" xfId="0" applyFont="1" applyFill="1" applyBorder="1" applyAlignment="1">
      <alignment horizontal="left" vertical="top" wrapText="1"/>
    </xf>
    <xf numFmtId="0" fontId="1" fillId="8" borderId="4" xfId="0" applyFont="1" applyFill="1" applyBorder="1" applyAlignment="1">
      <alignment horizontal="center" vertical="top" wrapText="1"/>
    </xf>
    <xf numFmtId="0" fontId="1" fillId="8" borderId="4" xfId="0" applyFont="1" applyFill="1" applyBorder="1" applyAlignment="1">
      <alignment horizontal="center" vertical="center" wrapText="1"/>
    </xf>
    <xf numFmtId="0" fontId="0" fillId="8" borderId="4" xfId="0" applyFont="1" applyFill="1" applyBorder="1" applyAlignment="1">
      <alignment horizontal="left" vertical="top" wrapText="1"/>
    </xf>
    <xf numFmtId="0" fontId="0" fillId="8" borderId="4" xfId="0" applyFont="1" applyFill="1" applyBorder="1" applyAlignment="1">
      <alignment horizontal="center" vertical="top" wrapText="1"/>
    </xf>
    <xf numFmtId="0" fontId="0" fillId="8" borderId="4" xfId="0" applyFont="1" applyFill="1" applyBorder="1" applyAlignment="1">
      <alignment horizontal="center" vertical="center" wrapText="1"/>
    </xf>
    <xf numFmtId="0" fontId="5" fillId="3" borderId="19" xfId="2" applyFont="1" applyBorder="1" applyAlignment="1">
      <alignment horizontal="center" wrapText="1"/>
    </xf>
    <xf numFmtId="0" fontId="5" fillId="8" borderId="19" xfId="0" applyFont="1" applyFill="1" applyBorder="1" applyAlignment="1">
      <alignment horizontal="center" vertical="center" wrapText="1"/>
    </xf>
    <xf numFmtId="0" fontId="5" fillId="8" borderId="19" xfId="0" applyFont="1" applyFill="1" applyBorder="1" applyAlignment="1">
      <alignment horizontal="center" vertical="top" wrapText="1"/>
    </xf>
    <xf numFmtId="0" fontId="5" fillId="8" borderId="21" xfId="0" applyFont="1" applyFill="1" applyBorder="1" applyAlignment="1">
      <alignment horizontal="center" vertical="top" wrapText="1"/>
    </xf>
    <xf numFmtId="0" fontId="0" fillId="0" borderId="4" xfId="0" applyFont="1" applyBorder="1" applyAlignment="1">
      <alignment horizontal="left" vertical="center" wrapText="1"/>
    </xf>
    <xf numFmtId="0" fontId="5" fillId="0" borderId="4" xfId="0" applyFont="1" applyBorder="1" applyAlignment="1">
      <alignment horizontal="left" vertical="center" wrapText="1"/>
    </xf>
    <xf numFmtId="0" fontId="5" fillId="0" borderId="19" xfId="0" applyFont="1" applyBorder="1" applyAlignment="1">
      <alignment horizontal="left" vertical="center" wrapText="1"/>
    </xf>
    <xf numFmtId="0" fontId="5" fillId="8" borderId="19" xfId="0" applyFont="1" applyFill="1" applyBorder="1" applyAlignment="1">
      <alignment horizontal="left" vertical="center" wrapText="1"/>
    </xf>
    <xf numFmtId="0" fontId="5" fillId="0" borderId="19" xfId="0" applyFont="1" applyBorder="1" applyAlignment="1">
      <alignment vertical="center" wrapText="1"/>
    </xf>
    <xf numFmtId="0" fontId="5" fillId="0" borderId="6" xfId="0" applyFont="1" applyBorder="1" applyAlignment="1">
      <alignment horizontal="left"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8" borderId="6" xfId="0" applyFont="1" applyFill="1" applyBorder="1" applyAlignment="1">
      <alignment vertical="center" wrapText="1"/>
    </xf>
    <xf numFmtId="0" fontId="5" fillId="8" borderId="6" xfId="0" applyFont="1" applyFill="1" applyBorder="1" applyAlignment="1">
      <alignment horizontal="left" vertical="center" wrapText="1"/>
    </xf>
    <xf numFmtId="0" fontId="5" fillId="0" borderId="21" xfId="0" applyFont="1" applyBorder="1" applyAlignment="1">
      <alignment vertical="center" wrapText="1"/>
    </xf>
    <xf numFmtId="0" fontId="1" fillId="3" borderId="4" xfId="2" applyFont="1" applyBorder="1" applyAlignment="1">
      <alignment horizontal="center" wrapText="1"/>
    </xf>
    <xf numFmtId="0" fontId="1" fillId="3" borderId="19" xfId="2" applyFont="1" applyBorder="1" applyAlignment="1">
      <alignment horizontal="center" wrapText="1"/>
    </xf>
    <xf numFmtId="0" fontId="1" fillId="8" borderId="4" xfId="0" applyFont="1" applyFill="1" applyBorder="1" applyAlignment="1">
      <alignment vertical="top" wrapText="1"/>
    </xf>
    <xf numFmtId="0" fontId="1" fillId="0" borderId="4" xfId="2" applyFont="1" applyFill="1" applyBorder="1" applyAlignment="1">
      <alignment horizontal="center" wrapText="1"/>
    </xf>
    <xf numFmtId="0" fontId="1" fillId="8" borderId="4" xfId="0" applyFont="1" applyFill="1" applyBorder="1" applyAlignment="1">
      <alignment horizontal="left" vertical="center" wrapText="1"/>
    </xf>
    <xf numFmtId="0" fontId="1" fillId="0" borderId="4" xfId="0" applyFont="1" applyBorder="1" applyAlignment="1">
      <alignment horizontal="left" vertical="center" wrapText="1"/>
    </xf>
    <xf numFmtId="0" fontId="1" fillId="0" borderId="19" xfId="0" applyFont="1" applyBorder="1" applyAlignment="1">
      <alignment horizontal="left" vertical="center" wrapText="1"/>
    </xf>
    <xf numFmtId="0" fontId="1" fillId="8" borderId="4" xfId="0" applyFont="1" applyFill="1" applyBorder="1" applyAlignment="1">
      <alignment vertical="center" wrapText="1"/>
    </xf>
    <xf numFmtId="0" fontId="1" fillId="0" borderId="4" xfId="0" applyFont="1" applyBorder="1" applyAlignment="1">
      <alignment horizontal="center" vertical="center" wrapText="1"/>
    </xf>
    <xf numFmtId="0" fontId="1" fillId="0" borderId="4" xfId="0" applyFont="1" applyBorder="1" applyAlignment="1">
      <alignment vertical="top" wrapText="1"/>
    </xf>
    <xf numFmtId="0" fontId="1" fillId="8" borderId="6" xfId="0" applyFont="1" applyFill="1" applyBorder="1" applyAlignment="1">
      <alignment vertical="top" wrapText="1"/>
    </xf>
    <xf numFmtId="0" fontId="1" fillId="0" borderId="6" xfId="0" applyFont="1" applyBorder="1" applyAlignment="1">
      <alignment horizontal="left" vertical="center" wrapText="1"/>
    </xf>
    <xf numFmtId="0" fontId="1" fillId="8" borderId="6" xfId="0" applyFont="1" applyFill="1" applyBorder="1" applyAlignment="1">
      <alignment horizontal="left" vertical="top" wrapText="1"/>
    </xf>
    <xf numFmtId="0" fontId="1" fillId="8" borderId="6" xfId="0" applyFont="1" applyFill="1" applyBorder="1" applyAlignment="1">
      <alignment horizontal="center" vertical="top" wrapText="1"/>
    </xf>
    <xf numFmtId="0" fontId="5" fillId="8" borderId="6" xfId="0" applyFont="1" applyFill="1" applyBorder="1" applyAlignment="1">
      <alignment horizontal="center" vertical="center" wrapText="1"/>
    </xf>
    <xf numFmtId="49" fontId="5" fillId="0" borderId="5" xfId="0" applyNumberFormat="1" applyFont="1" applyBorder="1" applyAlignment="1">
      <alignment horizontal="center" vertical="center"/>
    </xf>
    <xf numFmtId="0" fontId="0" fillId="0" borderId="19" xfId="0" applyFont="1" applyBorder="1" applyAlignment="1">
      <alignment horizontal="center" vertical="center" wrapText="1"/>
    </xf>
    <xf numFmtId="44" fontId="5" fillId="0" borderId="0" xfId="8" applyFont="1"/>
    <xf numFmtId="44" fontId="20" fillId="10" borderId="12" xfId="8" applyFont="1" applyFill="1" applyBorder="1" applyAlignment="1">
      <alignment horizontal="center" vertical="center" wrapText="1"/>
    </xf>
    <xf numFmtId="0" fontId="5" fillId="0" borderId="0" xfId="0" applyFont="1" applyAlignment="1">
      <alignment horizontal="center"/>
    </xf>
    <xf numFmtId="0" fontId="27" fillId="10" borderId="44" xfId="0" applyFont="1" applyFill="1" applyBorder="1" applyAlignment="1">
      <alignment horizontal="center"/>
    </xf>
    <xf numFmtId="0" fontId="27" fillId="10" borderId="0" xfId="0" applyFont="1" applyFill="1" applyAlignment="1">
      <alignment horizontal="center"/>
    </xf>
    <xf numFmtId="0" fontId="27" fillId="10" borderId="45" xfId="0" applyFont="1" applyFill="1" applyBorder="1" applyAlignment="1">
      <alignment horizontal="center"/>
    </xf>
    <xf numFmtId="44" fontId="20" fillId="10" borderId="44" xfId="8" applyFont="1" applyFill="1" applyBorder="1" applyAlignment="1">
      <alignment horizontal="center" vertical="center" wrapText="1"/>
    </xf>
    <xf numFmtId="0" fontId="5" fillId="11" borderId="1" xfId="0" applyFont="1" applyFill="1" applyBorder="1" applyAlignment="1">
      <alignment horizontal="left" vertical="center" wrapText="1"/>
    </xf>
    <xf numFmtId="0" fontId="28" fillId="11" borderId="3" xfId="0" applyFont="1" applyFill="1" applyBorder="1" applyAlignment="1">
      <alignment horizontal="left" vertical="center" wrapText="1"/>
    </xf>
    <xf numFmtId="0" fontId="29" fillId="11" borderId="2" xfId="0" applyFont="1" applyFill="1" applyBorder="1" applyAlignment="1">
      <alignment vertical="center" wrapText="1"/>
    </xf>
    <xf numFmtId="0" fontId="5" fillId="11" borderId="4" xfId="0" applyFont="1" applyFill="1" applyBorder="1" applyAlignment="1">
      <alignment horizontal="center" vertical="center"/>
    </xf>
    <xf numFmtId="44" fontId="5" fillId="11" borderId="4" xfId="8" applyFont="1" applyFill="1" applyBorder="1" applyAlignment="1">
      <alignment horizontal="center" vertical="center"/>
    </xf>
    <xf numFmtId="44" fontId="5" fillId="11" borderId="9" xfId="8" applyFont="1" applyFill="1" applyBorder="1" applyAlignment="1">
      <alignment horizontal="center" vertical="center"/>
    </xf>
    <xf numFmtId="0" fontId="5" fillId="11" borderId="47" xfId="0" applyFont="1" applyFill="1" applyBorder="1" applyAlignment="1">
      <alignment horizontal="left" vertical="center" wrapText="1"/>
    </xf>
    <xf numFmtId="0" fontId="28" fillId="11" borderId="4" xfId="0" quotePrefix="1" applyFont="1" applyFill="1" applyBorder="1" applyAlignment="1">
      <alignment horizontal="center" vertical="center"/>
    </xf>
    <xf numFmtId="43" fontId="28" fillId="11" borderId="4" xfId="7" applyFont="1" applyFill="1" applyBorder="1" applyAlignment="1">
      <alignment horizontal="center" vertical="center"/>
    </xf>
    <xf numFmtId="0" fontId="29" fillId="11" borderId="8" xfId="0" applyFont="1" applyFill="1" applyBorder="1" applyAlignment="1">
      <alignment vertical="center" wrapText="1"/>
    </xf>
    <xf numFmtId="44" fontId="29" fillId="11" borderId="8" xfId="8" quotePrefix="1" applyFont="1" applyFill="1" applyBorder="1" applyAlignment="1">
      <alignment vertical="center" wrapText="1"/>
    </xf>
    <xf numFmtId="0" fontId="29" fillId="11" borderId="4" xfId="0" applyFont="1" applyFill="1" applyBorder="1" applyAlignment="1">
      <alignment vertical="center" wrapText="1"/>
    </xf>
    <xf numFmtId="41" fontId="28" fillId="11" borderId="4" xfId="7" applyNumberFormat="1" applyFont="1" applyFill="1" applyBorder="1" applyAlignment="1">
      <alignment vertical="center"/>
    </xf>
    <xf numFmtId="0" fontId="29" fillId="11" borderId="7" xfId="0" applyFont="1" applyFill="1" applyBorder="1" applyAlignment="1">
      <alignment vertical="center" wrapText="1"/>
    </xf>
    <xf numFmtId="3" fontId="28" fillId="11" borderId="4" xfId="0" applyNumberFormat="1" applyFont="1" applyFill="1" applyBorder="1" applyAlignment="1">
      <alignment horizontal="center" vertical="center"/>
    </xf>
    <xf numFmtId="43" fontId="28" fillId="11" borderId="4" xfId="7" quotePrefix="1" applyFont="1" applyFill="1" applyBorder="1" applyAlignment="1">
      <alignment horizontal="center" vertical="center"/>
    </xf>
    <xf numFmtId="0" fontId="5" fillId="11" borderId="4" xfId="0" quotePrefix="1" applyFont="1" applyFill="1" applyBorder="1" applyAlignment="1">
      <alignment horizontal="center" vertical="center"/>
    </xf>
    <xf numFmtId="43" fontId="5" fillId="11" borderId="4" xfId="7" quotePrefix="1" applyFont="1" applyFill="1" applyBorder="1" applyAlignment="1">
      <alignment horizontal="center" vertical="center"/>
    </xf>
    <xf numFmtId="0" fontId="5" fillId="11" borderId="3" xfId="0" applyFont="1" applyFill="1" applyBorder="1" applyAlignment="1">
      <alignment horizontal="left" vertical="center" wrapText="1"/>
    </xf>
    <xf numFmtId="41" fontId="28" fillId="11" borderId="4" xfId="7" quotePrefix="1" applyNumberFormat="1" applyFont="1" applyFill="1" applyBorder="1" applyAlignment="1">
      <alignment vertical="center"/>
    </xf>
    <xf numFmtId="3" fontId="28" fillId="11" borderId="4" xfId="0" quotePrefix="1" applyNumberFormat="1" applyFont="1" applyFill="1" applyBorder="1" applyAlignment="1">
      <alignment horizontal="center" vertical="center"/>
    </xf>
    <xf numFmtId="0" fontId="28" fillId="11" borderId="4" xfId="0" quotePrefix="1" applyFont="1" applyFill="1" applyBorder="1" applyAlignment="1">
      <alignment horizontal="center" vertical="center" wrapText="1"/>
    </xf>
    <xf numFmtId="44" fontId="5" fillId="11" borderId="4" xfId="8" applyFont="1" applyFill="1" applyBorder="1" applyAlignment="1">
      <alignment horizontal="center" vertical="center" wrapText="1"/>
    </xf>
    <xf numFmtId="0" fontId="16" fillId="8" borderId="15" xfId="0" applyFont="1" applyFill="1" applyBorder="1"/>
    <xf numFmtId="44" fontId="16" fillId="8" borderId="49" xfId="8" applyFont="1" applyFill="1" applyBorder="1"/>
    <xf numFmtId="0" fontId="5" fillId="13" borderId="1" xfId="0" applyFont="1" applyFill="1" applyBorder="1"/>
    <xf numFmtId="0" fontId="28" fillId="13" borderId="1" xfId="0" applyFont="1" applyFill="1" applyBorder="1" applyAlignment="1">
      <alignment wrapText="1"/>
    </xf>
    <xf numFmtId="0" fontId="5" fillId="13" borderId="2" xfId="0" quotePrefix="1" applyFont="1" applyFill="1" applyBorder="1" applyAlignment="1">
      <alignment horizontal="center" vertical="center"/>
    </xf>
    <xf numFmtId="44" fontId="5" fillId="13" borderId="2" xfId="8" applyFont="1" applyFill="1" applyBorder="1" applyAlignment="1">
      <alignment horizontal="center" vertical="center"/>
    </xf>
    <xf numFmtId="44" fontId="5" fillId="13" borderId="24" xfId="8" applyFont="1" applyFill="1" applyBorder="1" applyAlignment="1">
      <alignment horizontal="center" vertical="center"/>
    </xf>
    <xf numFmtId="0" fontId="5" fillId="13" borderId="3" xfId="0" applyFont="1" applyFill="1" applyBorder="1"/>
    <xf numFmtId="0" fontId="28" fillId="13" borderId="3" xfId="0" applyFont="1" applyFill="1" applyBorder="1" applyAlignment="1">
      <alignment wrapText="1"/>
    </xf>
    <xf numFmtId="3" fontId="5" fillId="13" borderId="4" xfId="0" applyNumberFormat="1" applyFont="1" applyFill="1" applyBorder="1" applyAlignment="1">
      <alignment horizontal="center" vertical="center"/>
    </xf>
    <xf numFmtId="164" fontId="28" fillId="13" borderId="8" xfId="7" applyNumberFormat="1" applyFont="1" applyFill="1" applyBorder="1" applyAlignment="1">
      <alignment horizontal="center" vertical="center" wrapText="1"/>
    </xf>
    <xf numFmtId="0" fontId="5" fillId="13" borderId="4" xfId="0" quotePrefix="1" applyFont="1" applyFill="1" applyBorder="1" applyAlignment="1">
      <alignment horizontal="center" vertical="center"/>
    </xf>
    <xf numFmtId="44" fontId="5" fillId="13" borderId="4" xfId="8" applyFont="1" applyFill="1" applyBorder="1" applyAlignment="1">
      <alignment horizontal="center" vertical="center"/>
    </xf>
    <xf numFmtId="0" fontId="18" fillId="13" borderId="9" xfId="0" applyFont="1" applyFill="1" applyBorder="1" applyAlignment="1">
      <alignment vertical="center"/>
    </xf>
    <xf numFmtId="0" fontId="18" fillId="13" borderId="10" xfId="0" applyFont="1" applyFill="1" applyBorder="1" applyAlignment="1">
      <alignment vertical="center"/>
    </xf>
    <xf numFmtId="0" fontId="18" fillId="13" borderId="52" xfId="0" applyFont="1" applyFill="1" applyBorder="1" applyAlignment="1">
      <alignment vertical="center"/>
    </xf>
    <xf numFmtId="3" fontId="5" fillId="13" borderId="4" xfId="0" quotePrefix="1" applyNumberFormat="1" applyFont="1" applyFill="1" applyBorder="1" applyAlignment="1">
      <alignment horizontal="center" vertical="center"/>
    </xf>
    <xf numFmtId="165" fontId="5" fillId="13" borderId="4" xfId="7" applyNumberFormat="1" applyFont="1" applyFill="1" applyBorder="1" applyAlignment="1">
      <alignment horizontal="center" vertical="center"/>
    </xf>
    <xf numFmtId="44" fontId="5" fillId="13" borderId="8" xfId="8" applyFont="1" applyFill="1" applyBorder="1" applyAlignment="1">
      <alignment horizontal="center" vertical="center"/>
    </xf>
    <xf numFmtId="44" fontId="5" fillId="13" borderId="9" xfId="8" applyFont="1" applyFill="1" applyBorder="1" applyAlignment="1">
      <alignment horizontal="center" vertical="center"/>
    </xf>
    <xf numFmtId="0" fontId="16" fillId="0" borderId="5" xfId="0" applyFont="1" applyBorder="1"/>
    <xf numFmtId="0" fontId="16" fillId="0" borderId="6" xfId="0" applyFont="1" applyBorder="1" applyAlignment="1">
      <alignment horizontal="right"/>
    </xf>
    <xf numFmtId="0" fontId="16" fillId="0" borderId="6" xfId="0" applyFont="1" applyBorder="1"/>
    <xf numFmtId="44" fontId="16" fillId="0" borderId="27" xfId="8" applyFont="1" applyBorder="1"/>
    <xf numFmtId="0" fontId="5" fillId="11" borderId="31" xfId="0" applyFont="1" applyFill="1" applyBorder="1"/>
    <xf numFmtId="0" fontId="5" fillId="11" borderId="2" xfId="0" quotePrefix="1" applyFont="1" applyFill="1" applyBorder="1" applyAlignment="1">
      <alignment horizontal="center" vertical="center"/>
    </xf>
    <xf numFmtId="44" fontId="5" fillId="11" borderId="2" xfId="8" applyFont="1" applyFill="1" applyBorder="1" applyAlignment="1">
      <alignment horizontal="center" vertical="center"/>
    </xf>
    <xf numFmtId="44" fontId="5" fillId="11" borderId="25" xfId="8" applyFont="1" applyFill="1" applyBorder="1" applyAlignment="1">
      <alignment horizontal="center" vertical="center"/>
    </xf>
    <xf numFmtId="0" fontId="5" fillId="11" borderId="11" xfId="0" applyFont="1" applyFill="1" applyBorder="1"/>
    <xf numFmtId="44" fontId="5" fillId="11" borderId="8" xfId="8" applyFont="1" applyFill="1" applyBorder="1" applyAlignment="1">
      <alignment horizontal="center" vertical="center"/>
    </xf>
    <xf numFmtId="49" fontId="28" fillId="11" borderId="8" xfId="0" quotePrefix="1" applyNumberFormat="1" applyFont="1" applyFill="1" applyBorder="1" applyAlignment="1">
      <alignment horizontal="center" vertical="center" wrapText="1"/>
    </xf>
    <xf numFmtId="165" fontId="28" fillId="11" borderId="4" xfId="0" applyNumberFormat="1" applyFont="1" applyFill="1" applyBorder="1" applyAlignment="1">
      <alignment horizontal="center" vertical="center"/>
    </xf>
    <xf numFmtId="3" fontId="5" fillId="11" borderId="4" xfId="0" quotePrefix="1" applyNumberFormat="1" applyFont="1" applyFill="1" applyBorder="1" applyAlignment="1">
      <alignment horizontal="center" vertical="center"/>
    </xf>
    <xf numFmtId="165" fontId="28" fillId="11" borderId="4" xfId="0" quotePrefix="1" applyNumberFormat="1" applyFont="1" applyFill="1" applyBorder="1" applyAlignment="1">
      <alignment horizontal="center" vertical="center"/>
    </xf>
    <xf numFmtId="165" fontId="5" fillId="13" borderId="2" xfId="7" applyNumberFormat="1" applyFont="1" applyFill="1" applyBorder="1" applyAlignment="1">
      <alignment horizontal="center" vertical="center"/>
    </xf>
    <xf numFmtId="0" fontId="28" fillId="13" borderId="4" xfId="0" quotePrefix="1" applyFont="1" applyFill="1" applyBorder="1" applyAlignment="1">
      <alignment horizontal="center" vertical="center"/>
    </xf>
    <xf numFmtId="0" fontId="5" fillId="13" borderId="4" xfId="0" applyFont="1" applyFill="1" applyBorder="1" applyAlignment="1">
      <alignment horizontal="center" vertical="center"/>
    </xf>
    <xf numFmtId="3" fontId="28" fillId="13" borderId="4" xfId="0" applyNumberFormat="1" applyFont="1" applyFill="1" applyBorder="1" applyAlignment="1">
      <alignment horizontal="right" vertical="center" indent="1"/>
    </xf>
    <xf numFmtId="0" fontId="23" fillId="0" borderId="55" xfId="0" applyFont="1" applyBorder="1" applyAlignment="1">
      <alignment horizontal="right"/>
    </xf>
    <xf numFmtId="0" fontId="23" fillId="0" borderId="56" xfId="0" applyFont="1" applyBorder="1"/>
    <xf numFmtId="0" fontId="5" fillId="11" borderId="4" xfId="0" applyFont="1" applyFill="1" applyBorder="1"/>
    <xf numFmtId="44" fontId="5" fillId="11" borderId="4" xfId="8" applyFont="1" applyFill="1" applyBorder="1"/>
    <xf numFmtId="0" fontId="5" fillId="0" borderId="4" xfId="0" applyFont="1" applyBorder="1"/>
    <xf numFmtId="0" fontId="5" fillId="0" borderId="4" xfId="0" applyFont="1" applyBorder="1" applyAlignment="1">
      <alignment horizontal="center"/>
    </xf>
    <xf numFmtId="41" fontId="5" fillId="0" borderId="4" xfId="0" applyNumberFormat="1" applyFont="1" applyBorder="1"/>
    <xf numFmtId="44" fontId="5" fillId="0" borderId="4" xfId="8" applyFont="1" applyBorder="1"/>
    <xf numFmtId="0" fontId="16" fillId="14" borderId="4" xfId="0" applyFont="1" applyFill="1" applyBorder="1"/>
    <xf numFmtId="0" fontId="16" fillId="14" borderId="4" xfId="0" applyFont="1" applyFill="1" applyBorder="1" applyAlignment="1">
      <alignment horizontal="center"/>
    </xf>
    <xf numFmtId="41" fontId="16" fillId="14" borderId="4" xfId="0" applyNumberFormat="1" applyFont="1" applyFill="1" applyBorder="1"/>
    <xf numFmtId="44" fontId="16" fillId="14" borderId="4" xfId="8" applyFont="1" applyFill="1" applyBorder="1"/>
    <xf numFmtId="0" fontId="32" fillId="15" borderId="4" xfId="0" applyFont="1" applyFill="1" applyBorder="1" applyAlignment="1">
      <alignment horizontal="center" vertical="center"/>
    </xf>
    <xf numFmtId="43" fontId="32" fillId="15" borderId="4" xfId="0" applyNumberFormat="1" applyFont="1" applyFill="1" applyBorder="1" applyAlignment="1">
      <alignment horizontal="center" vertical="center"/>
    </xf>
    <xf numFmtId="44" fontId="32" fillId="15" borderId="4" xfId="8" applyFont="1" applyFill="1" applyBorder="1" applyAlignment="1">
      <alignment horizontal="center" vertical="center"/>
    </xf>
    <xf numFmtId="0" fontId="5" fillId="0" borderId="9" xfId="0" applyFont="1" applyBorder="1" applyAlignment="1">
      <alignment horizontal="left"/>
    </xf>
    <xf numFmtId="0" fontId="5" fillId="0" borderId="10" xfId="0" applyFont="1" applyBorder="1" applyAlignment="1">
      <alignment horizontal="left"/>
    </xf>
    <xf numFmtId="0" fontId="5" fillId="0" borderId="11" xfId="0" applyFont="1" applyBorder="1" applyAlignment="1">
      <alignment horizontal="left"/>
    </xf>
    <xf numFmtId="0" fontId="5" fillId="9" borderId="5" xfId="6" applyFont="1" applyFill="1" applyBorder="1" applyAlignment="1">
      <alignment horizontal="left" vertical="center" wrapText="1"/>
    </xf>
    <xf numFmtId="0" fontId="5" fillId="9" borderId="27" xfId="6" applyFont="1" applyFill="1" applyBorder="1" applyAlignment="1">
      <alignment horizontal="left"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1" xfId="0" applyFont="1" applyBorder="1" applyAlignment="1">
      <alignment horizontal="center" vertical="center" wrapText="1"/>
    </xf>
    <xf numFmtId="0" fontId="9" fillId="2" borderId="1" xfId="1" applyFont="1" applyBorder="1" applyAlignment="1">
      <alignment horizontal="left" vertical="center"/>
    </xf>
    <xf numFmtId="0" fontId="9" fillId="2" borderId="3" xfId="1" applyFont="1" applyBorder="1" applyAlignment="1">
      <alignment horizontal="left" vertical="center"/>
    </xf>
    <xf numFmtId="0" fontId="10" fillId="2" borderId="28" xfId="1" applyFont="1" applyBorder="1" applyAlignment="1">
      <alignment horizontal="center" vertical="center" wrapText="1"/>
    </xf>
    <xf numFmtId="0" fontId="10" fillId="2" borderId="29" xfId="1" applyFont="1" applyBorder="1" applyAlignment="1">
      <alignment horizontal="center" vertical="center" wrapText="1"/>
    </xf>
    <xf numFmtId="0" fontId="4" fillId="0" borderId="0" xfId="0" applyFont="1" applyAlignment="1">
      <alignment horizontal="center" vertical="center"/>
    </xf>
    <xf numFmtId="0" fontId="6" fillId="0" borderId="0" xfId="0" applyFont="1" applyAlignment="1">
      <alignment horizontal="center" vertical="center"/>
    </xf>
    <xf numFmtId="0" fontId="5" fillId="2" borderId="1" xfId="1" applyFont="1" applyBorder="1" applyAlignment="1">
      <alignment horizontal="left" vertical="center" wrapText="1"/>
    </xf>
    <xf numFmtId="0" fontId="5" fillId="2" borderId="24" xfId="1" applyFont="1" applyBorder="1" applyAlignment="1">
      <alignment horizontal="left" vertical="center" wrapText="1"/>
    </xf>
    <xf numFmtId="0" fontId="16" fillId="2" borderId="1" xfId="1" applyFont="1" applyBorder="1" applyAlignment="1">
      <alignment horizontal="center" vertical="center" wrapText="1"/>
    </xf>
    <xf numFmtId="0" fontId="16" fillId="2" borderId="2" xfId="1" applyFont="1" applyBorder="1" applyAlignment="1">
      <alignment horizontal="center" vertical="center" wrapText="1"/>
    </xf>
    <xf numFmtId="0" fontId="16" fillId="2" borderId="16" xfId="1" applyFont="1" applyBorder="1" applyAlignment="1">
      <alignment horizontal="center" vertical="center" wrapText="1"/>
    </xf>
    <xf numFmtId="0" fontId="5" fillId="2" borderId="3" xfId="1" applyFont="1" applyBorder="1" applyAlignment="1">
      <alignment horizontal="left" vertical="center" wrapText="1"/>
    </xf>
    <xf numFmtId="0" fontId="5" fillId="2" borderId="9" xfId="1" applyFont="1" applyBorder="1" applyAlignment="1">
      <alignment horizontal="left" vertical="center" wrapText="1"/>
    </xf>
    <xf numFmtId="0" fontId="16" fillId="2" borderId="3" xfId="1" applyFont="1" applyBorder="1" applyAlignment="1">
      <alignment horizontal="center" vertical="center" wrapText="1"/>
    </xf>
    <xf numFmtId="0" fontId="16" fillId="2" borderId="4" xfId="1" applyFont="1" applyBorder="1" applyAlignment="1">
      <alignment horizontal="center" vertical="center" wrapText="1"/>
    </xf>
    <xf numFmtId="0" fontId="16" fillId="2" borderId="19" xfId="1" applyFont="1" applyBorder="1" applyAlignment="1">
      <alignment horizontal="center" vertical="center" wrapText="1"/>
    </xf>
    <xf numFmtId="0" fontId="5" fillId="0" borderId="12" xfId="5" applyFont="1" applyFill="1" applyBorder="1" applyAlignment="1">
      <alignment horizontal="left" vertical="center" wrapText="1"/>
    </xf>
    <xf numFmtId="0" fontId="5" fillId="0" borderId="13" xfId="5" applyFont="1" applyFill="1" applyBorder="1" applyAlignment="1">
      <alignment horizontal="left" vertical="center" wrapText="1"/>
    </xf>
    <xf numFmtId="0" fontId="5" fillId="0" borderId="39" xfId="5" applyFont="1" applyFill="1" applyBorder="1" applyAlignment="1">
      <alignment horizontal="left" vertical="center" wrapText="1"/>
    </xf>
    <xf numFmtId="0" fontId="5" fillId="0" borderId="14" xfId="5" applyFont="1" applyFill="1" applyBorder="1" applyAlignment="1">
      <alignment horizontal="left" vertical="center" wrapText="1"/>
    </xf>
    <xf numFmtId="0" fontId="5" fillId="0" borderId="15" xfId="5" applyFont="1" applyFill="1" applyBorder="1" applyAlignment="1">
      <alignment horizontal="left" vertical="center" wrapText="1"/>
    </xf>
    <xf numFmtId="0" fontId="5" fillId="0" borderId="40" xfId="5" applyFont="1" applyFill="1" applyBorder="1" applyAlignment="1">
      <alignment horizontal="left" vertical="center" wrapText="1"/>
    </xf>
    <xf numFmtId="0" fontId="5" fillId="9" borderId="1" xfId="1" applyFont="1" applyFill="1" applyBorder="1" applyAlignment="1">
      <alignment horizontal="left" vertical="center" wrapText="1"/>
    </xf>
    <xf numFmtId="0" fontId="5" fillId="9" borderId="16" xfId="1" applyFont="1" applyFill="1" applyBorder="1" applyAlignment="1">
      <alignment horizontal="left" vertical="center" wrapText="1"/>
    </xf>
    <xf numFmtId="0" fontId="16" fillId="2" borderId="17" xfId="1" applyFont="1" applyBorder="1" applyAlignment="1">
      <alignment horizontal="center" vertical="center" wrapText="1"/>
    </xf>
    <xf numFmtId="0" fontId="16" fillId="2" borderId="18" xfId="1" applyFont="1" applyBorder="1" applyAlignment="1">
      <alignment horizontal="center" vertical="center" wrapText="1"/>
    </xf>
    <xf numFmtId="0" fontId="5" fillId="9" borderId="3" xfId="6" applyFont="1" applyFill="1" applyBorder="1" applyAlignment="1">
      <alignment horizontal="left" vertical="center" wrapText="1"/>
    </xf>
    <xf numFmtId="0" fontId="5" fillId="9" borderId="19" xfId="6" applyFont="1" applyFill="1" applyBorder="1" applyAlignment="1">
      <alignment horizontal="left" vertical="center" wrapText="1"/>
    </xf>
    <xf numFmtId="9"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 xfId="0" applyFont="1" applyBorder="1" applyAlignment="1">
      <alignment horizontal="center" vertical="center" wrapText="1"/>
    </xf>
    <xf numFmtId="0" fontId="5" fillId="9" borderId="21" xfId="6" applyFont="1" applyFill="1" applyBorder="1" applyAlignment="1">
      <alignment horizontal="left"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4" borderId="1" xfId="3" applyFont="1" applyBorder="1" applyAlignment="1">
      <alignment horizontal="center" vertical="center"/>
    </xf>
    <xf numFmtId="0" fontId="5" fillId="4" borderId="3" xfId="3" applyFont="1" applyBorder="1" applyAlignment="1">
      <alignment horizontal="center" vertical="center"/>
    </xf>
    <xf numFmtId="0" fontId="5" fillId="4" borderId="2" xfId="3" applyFont="1" applyBorder="1" applyAlignment="1">
      <alignment horizontal="center" vertical="center"/>
    </xf>
    <xf numFmtId="0" fontId="5" fillId="4" borderId="4" xfId="3" applyFont="1" applyBorder="1" applyAlignment="1">
      <alignment horizontal="center" vertical="center"/>
    </xf>
    <xf numFmtId="0" fontId="5" fillId="4" borderId="2" xfId="3" applyFont="1" applyBorder="1" applyAlignment="1">
      <alignment horizontal="center" wrapText="1"/>
    </xf>
    <xf numFmtId="0" fontId="5" fillId="4" borderId="2" xfId="3" applyFont="1" applyBorder="1" applyAlignment="1">
      <alignment horizontal="center"/>
    </xf>
    <xf numFmtId="0" fontId="5" fillId="4" borderId="16" xfId="3" applyFont="1" applyBorder="1" applyAlignment="1">
      <alignment horizontal="center"/>
    </xf>
    <xf numFmtId="0" fontId="5" fillId="9" borderId="4" xfId="6" applyFont="1" applyFill="1" applyBorder="1" applyAlignment="1">
      <alignment horizontal="left" vertical="center" wrapText="1"/>
    </xf>
    <xf numFmtId="0" fontId="5" fillId="8" borderId="4" xfId="0" applyFont="1" applyFill="1" applyBorder="1" applyAlignment="1">
      <alignment horizontal="center" vertical="center" wrapText="1"/>
    </xf>
    <xf numFmtId="0" fontId="5" fillId="9" borderId="6" xfId="6" applyFont="1" applyFill="1" applyBorder="1" applyAlignment="1">
      <alignment horizontal="left" vertical="center" wrapText="1"/>
    </xf>
    <xf numFmtId="0" fontId="5" fillId="8" borderId="6" xfId="0" applyFont="1" applyFill="1" applyBorder="1" applyAlignment="1">
      <alignment horizontal="center" vertical="center" wrapText="1"/>
    </xf>
    <xf numFmtId="0" fontId="8" fillId="0" borderId="0" xfId="0" applyFont="1" applyAlignment="1">
      <alignment horizontal="left" wrapText="1"/>
    </xf>
    <xf numFmtId="0" fontId="5" fillId="2" borderId="2" xfId="1" applyFont="1" applyBorder="1" applyAlignment="1">
      <alignment horizontal="left" vertical="center" wrapText="1"/>
    </xf>
    <xf numFmtId="0" fontId="5" fillId="2" borderId="2" xfId="1" applyFont="1" applyBorder="1" applyAlignment="1">
      <alignment horizontal="center" vertical="center" wrapText="1"/>
    </xf>
    <xf numFmtId="0" fontId="5" fillId="9" borderId="2" xfId="1" applyFont="1" applyFill="1" applyBorder="1" applyAlignment="1">
      <alignment horizontal="left" vertical="center" wrapText="1"/>
    </xf>
    <xf numFmtId="0" fontId="5" fillId="8" borderId="4" xfId="5" applyFont="1" applyFill="1" applyBorder="1" applyAlignment="1">
      <alignment horizontal="center" vertical="center" wrapText="1"/>
    </xf>
    <xf numFmtId="0" fontId="5" fillId="8" borderId="6" xfId="5" applyFont="1" applyFill="1" applyBorder="1" applyAlignment="1">
      <alignment horizontal="center" vertical="center" wrapText="1"/>
    </xf>
    <xf numFmtId="0" fontId="5" fillId="0" borderId="5" xfId="0" applyFont="1" applyBorder="1" applyAlignment="1">
      <alignment horizontal="center" vertical="center"/>
    </xf>
    <xf numFmtId="0" fontId="5" fillId="0" borderId="4" xfId="0" applyFont="1" applyBorder="1" applyAlignment="1">
      <alignment horizontal="center" vertical="top" wrapText="1"/>
    </xf>
    <xf numFmtId="0" fontId="5" fillId="0" borderId="19" xfId="0" applyFont="1" applyBorder="1" applyAlignment="1">
      <alignment horizontal="left" vertical="center" wrapText="1"/>
    </xf>
    <xf numFmtId="0" fontId="5" fillId="8" borderId="4" xfId="0" applyFont="1" applyFill="1" applyBorder="1" applyAlignment="1">
      <alignment horizontal="center" vertical="top" wrapText="1"/>
    </xf>
    <xf numFmtId="0" fontId="1" fillId="4" borderId="1" xfId="3" applyFont="1" applyBorder="1" applyAlignment="1">
      <alignment horizontal="center" vertical="center"/>
    </xf>
    <xf numFmtId="0" fontId="1" fillId="4" borderId="3" xfId="3" applyFont="1" applyBorder="1" applyAlignment="1">
      <alignment horizontal="center" vertical="center"/>
    </xf>
    <xf numFmtId="0" fontId="1" fillId="4" borderId="2" xfId="3" applyFont="1" applyBorder="1" applyAlignment="1">
      <alignment horizontal="center" vertical="center"/>
    </xf>
    <xf numFmtId="0" fontId="1" fillId="4" borderId="4" xfId="3" applyFont="1" applyBorder="1" applyAlignment="1">
      <alignment horizontal="center" vertical="center"/>
    </xf>
    <xf numFmtId="0" fontId="1" fillId="4" borderId="2" xfId="3" applyFont="1" applyBorder="1" applyAlignment="1">
      <alignment horizontal="center" wrapText="1"/>
    </xf>
    <xf numFmtId="0" fontId="1" fillId="4" borderId="2" xfId="3" applyFont="1" applyBorder="1" applyAlignment="1">
      <alignment horizontal="center"/>
    </xf>
    <xf numFmtId="0" fontId="1" fillId="4" borderId="16" xfId="3" applyFont="1" applyBorder="1" applyAlignment="1">
      <alignment horizontal="center"/>
    </xf>
    <xf numFmtId="0" fontId="1" fillId="0" borderId="3" xfId="0" applyFont="1" applyBorder="1" applyAlignment="1">
      <alignment horizontal="center" vertical="center"/>
    </xf>
    <xf numFmtId="0" fontId="1" fillId="0" borderId="4" xfId="0" applyFont="1" applyBorder="1" applyAlignment="1">
      <alignment horizontal="center" vertical="center" wrapText="1"/>
    </xf>
    <xf numFmtId="0" fontId="1" fillId="8" borderId="4" xfId="0" applyFont="1" applyFill="1" applyBorder="1" applyAlignment="1">
      <alignment horizontal="center" vertical="top" wrapText="1"/>
    </xf>
    <xf numFmtId="0" fontId="1" fillId="0" borderId="19" xfId="0" applyFont="1" applyBorder="1" applyAlignment="1">
      <alignment horizontal="left" vertical="center" wrapText="1"/>
    </xf>
    <xf numFmtId="0" fontId="5" fillId="9" borderId="32" xfId="4" applyFont="1" applyFill="1" applyBorder="1" applyAlignment="1">
      <alignment horizontal="left" vertical="center" wrapText="1"/>
    </xf>
    <xf numFmtId="0" fontId="5" fillId="9" borderId="20" xfId="4" applyFont="1" applyFill="1" applyBorder="1" applyAlignment="1">
      <alignment horizontal="left" vertical="center" wrapText="1"/>
    </xf>
    <xf numFmtId="0" fontId="5" fillId="8" borderId="11" xfId="0" applyFont="1" applyFill="1" applyBorder="1" applyAlignment="1">
      <alignment horizontal="center" vertical="center" wrapText="1"/>
    </xf>
    <xf numFmtId="0" fontId="1" fillId="0" borderId="3" xfId="0" applyFont="1" applyBorder="1" applyAlignment="1">
      <alignment horizontal="left" vertical="top" wrapText="1"/>
    </xf>
    <xf numFmtId="0" fontId="1" fillId="0" borderId="3" xfId="4" applyFont="1" applyFill="1" applyBorder="1" applyAlignment="1">
      <alignment horizontal="left" vertical="top" wrapText="1"/>
    </xf>
    <xf numFmtId="0" fontId="1" fillId="0" borderId="5" xfId="4" applyFont="1" applyFill="1" applyBorder="1" applyAlignment="1">
      <alignment horizontal="left" vertical="top" wrapText="1"/>
    </xf>
    <xf numFmtId="0" fontId="1" fillId="0" borderId="21" xfId="0" applyFont="1" applyBorder="1" applyAlignment="1">
      <alignment horizontal="left" vertical="center" wrapText="1"/>
    </xf>
    <xf numFmtId="0" fontId="1" fillId="0" borderId="6" xfId="0" applyFont="1" applyBorder="1" applyAlignment="1">
      <alignment horizontal="center" vertical="center" wrapText="1"/>
    </xf>
    <xf numFmtId="0" fontId="5" fillId="0" borderId="27" xfId="0" applyFont="1" applyBorder="1" applyAlignment="1">
      <alignment horizontal="left"/>
    </xf>
    <xf numFmtId="0" fontId="5" fillId="0" borderId="22" xfId="0" applyFont="1" applyBorder="1" applyAlignment="1">
      <alignment horizontal="left"/>
    </xf>
    <xf numFmtId="0" fontId="5" fillId="0" borderId="41" xfId="0" applyFont="1" applyBorder="1" applyAlignment="1">
      <alignment horizontal="left"/>
    </xf>
    <xf numFmtId="0" fontId="7" fillId="0" borderId="0" xfId="0" applyFont="1" applyAlignment="1">
      <alignment horizontal="center"/>
    </xf>
    <xf numFmtId="49" fontId="5" fillId="0" borderId="3" xfId="0" applyNumberFormat="1" applyFont="1" applyBorder="1" applyAlignment="1">
      <alignment horizontal="center" vertical="center" wrapText="1"/>
    </xf>
    <xf numFmtId="0" fontId="9" fillId="2" borderId="34" xfId="1" applyFont="1" applyBorder="1" applyAlignment="1">
      <alignment horizontal="center" vertical="center" wrapText="1"/>
    </xf>
    <xf numFmtId="0" fontId="9" fillId="2" borderId="13" xfId="1" applyFont="1" applyBorder="1" applyAlignment="1">
      <alignment horizontal="center" vertical="center" wrapText="1"/>
    </xf>
    <xf numFmtId="0" fontId="9" fillId="2" borderId="35" xfId="1" applyFont="1" applyBorder="1" applyAlignment="1">
      <alignment horizontal="center" vertical="center" wrapText="1"/>
    </xf>
    <xf numFmtId="0" fontId="9" fillId="2" borderId="26" xfId="1" applyFont="1" applyBorder="1" applyAlignment="1">
      <alignment horizontal="center" vertical="center" wrapText="1"/>
    </xf>
    <xf numFmtId="0" fontId="9" fillId="2" borderId="0" xfId="1" applyFont="1" applyBorder="1" applyAlignment="1">
      <alignment horizontal="center" vertical="center" wrapText="1"/>
    </xf>
    <xf numFmtId="0" fontId="9" fillId="2" borderId="36" xfId="1" applyFont="1" applyBorder="1" applyAlignment="1">
      <alignment horizontal="center" vertical="center" wrapText="1"/>
    </xf>
    <xf numFmtId="0" fontId="9" fillId="2" borderId="25" xfId="1" applyFont="1" applyBorder="1" applyAlignment="1">
      <alignment horizontal="center" vertical="center" wrapText="1"/>
    </xf>
    <xf numFmtId="0" fontId="9" fillId="2" borderId="37" xfId="1" applyFont="1" applyBorder="1" applyAlignment="1">
      <alignment horizontal="center" vertical="center" wrapText="1"/>
    </xf>
    <xf numFmtId="0" fontId="9" fillId="2" borderId="38" xfId="1" applyFont="1" applyBorder="1" applyAlignment="1">
      <alignment horizontal="center" vertical="center" wrapText="1"/>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9" borderId="33" xfId="4" applyFont="1" applyFill="1" applyBorder="1" applyAlignment="1">
      <alignment horizontal="left" vertical="center" wrapText="1"/>
    </xf>
    <xf numFmtId="0" fontId="5" fillId="9" borderId="23" xfId="4" applyFont="1" applyFill="1" applyBorder="1" applyAlignment="1">
      <alignment horizontal="left" vertical="center" wrapText="1"/>
    </xf>
    <xf numFmtId="0" fontId="5" fillId="9" borderId="30" xfId="1" applyFont="1" applyFill="1" applyBorder="1" applyAlignment="1">
      <alignment horizontal="left" vertical="center" wrapText="1"/>
    </xf>
    <xf numFmtId="0" fontId="5" fillId="9" borderId="18" xfId="1" applyFont="1" applyFill="1" applyBorder="1" applyAlignment="1">
      <alignment horizontal="left" vertical="center" wrapText="1"/>
    </xf>
    <xf numFmtId="0" fontId="5" fillId="2" borderId="31" xfId="1" applyFont="1" applyBorder="1" applyAlignment="1">
      <alignment horizontal="center" vertical="center" wrapText="1"/>
    </xf>
    <xf numFmtId="0" fontId="16" fillId="13" borderId="50" xfId="0" applyFont="1" applyFill="1" applyBorder="1" applyAlignment="1">
      <alignment horizontal="left" vertical="center" wrapText="1"/>
    </xf>
    <xf numFmtId="0" fontId="16" fillId="13" borderId="46" xfId="0" applyFont="1" applyFill="1" applyBorder="1" applyAlignment="1">
      <alignment horizontal="left" vertical="center" wrapText="1"/>
    </xf>
    <xf numFmtId="0" fontId="16" fillId="13" borderId="51" xfId="0" applyFont="1" applyFill="1" applyBorder="1" applyAlignment="1">
      <alignment horizontal="left" vertical="center" wrapText="1"/>
    </xf>
    <xf numFmtId="0" fontId="16" fillId="13" borderId="53" xfId="0" applyFont="1" applyFill="1" applyBorder="1" applyAlignment="1">
      <alignment horizontal="left" vertical="center" wrapText="1"/>
    </xf>
    <xf numFmtId="0" fontId="5" fillId="11" borderId="9" xfId="0" applyFont="1" applyFill="1" applyBorder="1" applyAlignment="1">
      <alignment horizontal="center"/>
    </xf>
    <xf numFmtId="0" fontId="5" fillId="11" borderId="10" xfId="0" applyFont="1" applyFill="1" applyBorder="1" applyAlignment="1">
      <alignment horizontal="center"/>
    </xf>
    <xf numFmtId="0" fontId="5" fillId="11" borderId="11" xfId="0" applyFont="1" applyFill="1" applyBorder="1" applyAlignment="1">
      <alignment horizontal="center"/>
    </xf>
    <xf numFmtId="44" fontId="20" fillId="10" borderId="42" xfId="8" applyFont="1" applyFill="1" applyBorder="1" applyAlignment="1">
      <alignment horizontal="center" vertical="center" wrapText="1"/>
    </xf>
    <xf numFmtId="44" fontId="20" fillId="10" borderId="43" xfId="8" applyFont="1" applyFill="1" applyBorder="1" applyAlignment="1">
      <alignment horizontal="center" vertical="center" wrapText="1"/>
    </xf>
    <xf numFmtId="44" fontId="20" fillId="10" borderId="12" xfId="8" applyFont="1" applyFill="1" applyBorder="1" applyAlignment="1">
      <alignment horizontal="center" vertical="center" wrapText="1"/>
    </xf>
    <xf numFmtId="44" fontId="20" fillId="10" borderId="44" xfId="8" applyFont="1" applyFill="1" applyBorder="1" applyAlignment="1">
      <alignment horizontal="center" vertical="center" wrapText="1"/>
    </xf>
    <xf numFmtId="0" fontId="16" fillId="11" borderId="42" xfId="0" applyFont="1" applyFill="1" applyBorder="1" applyAlignment="1">
      <alignment horizontal="center" vertical="center" wrapText="1"/>
    </xf>
    <xf numFmtId="0" fontId="16" fillId="11" borderId="43" xfId="0" applyFont="1" applyFill="1" applyBorder="1" applyAlignment="1">
      <alignment horizontal="center" vertical="center" wrapText="1"/>
    </xf>
    <xf numFmtId="0" fontId="16" fillId="11" borderId="48" xfId="0" applyFont="1" applyFill="1" applyBorder="1" applyAlignment="1">
      <alignment horizontal="center" vertical="center" wrapText="1"/>
    </xf>
    <xf numFmtId="0" fontId="16" fillId="11" borderId="50" xfId="0" applyFont="1" applyFill="1" applyBorder="1" applyAlignment="1">
      <alignment horizontal="left" vertical="center" wrapText="1"/>
    </xf>
    <xf numFmtId="0" fontId="16" fillId="11" borderId="46" xfId="0" applyFont="1" applyFill="1" applyBorder="1" applyAlignment="1">
      <alignment horizontal="left" vertical="center" wrapText="1"/>
    </xf>
    <xf numFmtId="0" fontId="16" fillId="11" borderId="51" xfId="0" applyFont="1" applyFill="1" applyBorder="1" applyAlignment="1">
      <alignment horizontal="left" vertical="center" wrapText="1"/>
    </xf>
    <xf numFmtId="0" fontId="16" fillId="11" borderId="54" xfId="0" applyFont="1" applyFill="1" applyBorder="1" applyAlignment="1">
      <alignment horizontal="left" vertical="center" wrapText="1"/>
    </xf>
    <xf numFmtId="0" fontId="21" fillId="0" borderId="0" xfId="0" applyFont="1" applyAlignment="1">
      <alignment horizontal="left"/>
    </xf>
    <xf numFmtId="0" fontId="22" fillId="0" borderId="0" xfId="0" applyFont="1" applyAlignment="1">
      <alignment horizontal="left"/>
    </xf>
    <xf numFmtId="0" fontId="23" fillId="0" borderId="0" xfId="0" applyFont="1" applyAlignment="1">
      <alignment horizontal="left"/>
    </xf>
    <xf numFmtId="0" fontId="20" fillId="10" borderId="42" xfId="0" applyFont="1" applyFill="1" applyBorder="1" applyAlignment="1">
      <alignment horizontal="left" vertical="center" wrapText="1"/>
    </xf>
    <xf numFmtId="0" fontId="20" fillId="10" borderId="43" xfId="0" applyFont="1" applyFill="1" applyBorder="1" applyAlignment="1">
      <alignment horizontal="left" vertical="center" wrapText="1"/>
    </xf>
    <xf numFmtId="0" fontId="20" fillId="10" borderId="12" xfId="0" applyFont="1" applyFill="1" applyBorder="1" applyAlignment="1">
      <alignment horizontal="left" vertical="center"/>
    </xf>
    <xf numFmtId="0" fontId="20" fillId="10" borderId="44" xfId="0" applyFont="1" applyFill="1" applyBorder="1" applyAlignment="1">
      <alignment horizontal="left" vertical="center"/>
    </xf>
    <xf numFmtId="0" fontId="20" fillId="10" borderId="12" xfId="0" applyFont="1" applyFill="1" applyBorder="1" applyAlignment="1">
      <alignment horizontal="center" vertical="center"/>
    </xf>
    <xf numFmtId="0" fontId="20" fillId="10" borderId="13" xfId="0" applyFont="1" applyFill="1" applyBorder="1" applyAlignment="1">
      <alignment horizontal="center" vertical="center"/>
    </xf>
    <xf numFmtId="0" fontId="20" fillId="10" borderId="39" xfId="0" applyFont="1" applyFill="1" applyBorder="1" applyAlignment="1">
      <alignment horizontal="center" vertical="center"/>
    </xf>
    <xf numFmtId="44" fontId="20" fillId="16" borderId="12" xfId="8" applyFont="1" applyFill="1" applyBorder="1" applyAlignment="1">
      <alignment horizontal="center" vertical="center" wrapText="1"/>
    </xf>
    <xf numFmtId="44" fontId="20" fillId="16" borderId="44" xfId="8" applyFont="1" applyFill="1" applyBorder="1" applyAlignment="1">
      <alignment horizontal="center" vertical="center" wrapText="1"/>
    </xf>
    <xf numFmtId="0" fontId="28" fillId="11" borderId="1" xfId="0" applyFont="1" applyFill="1" applyBorder="1" applyAlignment="1">
      <alignment horizontal="left" vertical="center" wrapText="1"/>
    </xf>
    <xf numFmtId="0" fontId="5" fillId="11" borderId="2" xfId="0" applyFont="1" applyFill="1" applyBorder="1" applyAlignment="1">
      <alignment horizontal="center" vertical="center"/>
    </xf>
    <xf numFmtId="166" fontId="5" fillId="11" borderId="24" xfId="8" applyNumberFormat="1" applyFont="1" applyFill="1" applyBorder="1" applyAlignment="1">
      <alignment horizontal="center" vertical="center"/>
    </xf>
    <xf numFmtId="44" fontId="5" fillId="11" borderId="24" xfId="8" applyFont="1" applyFill="1" applyBorder="1" applyAlignment="1">
      <alignment horizontal="center" vertical="center"/>
    </xf>
    <xf numFmtId="44" fontId="5" fillId="11" borderId="18" xfId="8" applyFont="1" applyFill="1" applyBorder="1" applyAlignment="1">
      <alignment horizontal="center" vertical="center"/>
    </xf>
    <xf numFmtId="166" fontId="5" fillId="11" borderId="9" xfId="8" applyNumberFormat="1" applyFont="1" applyFill="1" applyBorder="1" applyAlignment="1">
      <alignment horizontal="center" vertical="center"/>
    </xf>
    <xf numFmtId="44" fontId="5" fillId="11" borderId="58" xfId="8" applyFont="1" applyFill="1" applyBorder="1" applyAlignment="1">
      <alignment horizontal="center" vertical="center"/>
    </xf>
    <xf numFmtId="44" fontId="5" fillId="11" borderId="58" xfId="8" applyFont="1" applyFill="1" applyBorder="1" applyAlignment="1">
      <alignment horizontal="center" vertical="center" wrapText="1"/>
    </xf>
    <xf numFmtId="166" fontId="5" fillId="11" borderId="9" xfId="8" quotePrefix="1" applyNumberFormat="1" applyFont="1" applyFill="1" applyBorder="1" applyAlignment="1">
      <alignment horizontal="center" vertical="center"/>
    </xf>
    <xf numFmtId="44" fontId="16" fillId="0" borderId="49" xfId="8" applyFont="1" applyFill="1" applyBorder="1"/>
    <xf numFmtId="44" fontId="16" fillId="12" borderId="6" xfId="8" applyFont="1" applyFill="1" applyBorder="1"/>
    <xf numFmtId="10" fontId="5" fillId="8" borderId="40" xfId="8" applyNumberFormat="1" applyFont="1" applyFill="1" applyBorder="1" applyAlignment="1">
      <alignment horizontal="center" vertical="center"/>
    </xf>
    <xf numFmtId="166" fontId="5" fillId="13" borderId="34" xfId="8" applyNumberFormat="1" applyFont="1" applyFill="1" applyBorder="1" applyAlignment="1">
      <alignment horizontal="center" vertical="center"/>
    </xf>
    <xf numFmtId="44" fontId="5" fillId="13" borderId="18" xfId="8" applyFont="1" applyFill="1" applyBorder="1" applyAlignment="1">
      <alignment horizontal="center" vertical="center"/>
    </xf>
    <xf numFmtId="166" fontId="5" fillId="13" borderId="4" xfId="8" applyNumberFormat="1" applyFont="1" applyFill="1" applyBorder="1" applyAlignment="1">
      <alignment horizontal="center" vertical="center"/>
    </xf>
    <xf numFmtId="44" fontId="5" fillId="13" borderId="10" xfId="8" applyFont="1" applyFill="1" applyBorder="1" applyAlignment="1">
      <alignment vertical="center"/>
    </xf>
    <xf numFmtId="44" fontId="5" fillId="13" borderId="58" xfId="8" applyFont="1" applyFill="1" applyBorder="1" applyAlignment="1">
      <alignment horizontal="center" vertical="center"/>
    </xf>
    <xf numFmtId="44" fontId="5" fillId="13" borderId="10" xfId="8" applyFont="1" applyFill="1" applyBorder="1" applyAlignment="1">
      <alignment horizontal="center" vertical="center"/>
    </xf>
    <xf numFmtId="166" fontId="5" fillId="13" borderId="25" xfId="8" applyNumberFormat="1" applyFont="1" applyFill="1" applyBorder="1" applyAlignment="1">
      <alignment horizontal="center" vertical="center"/>
    </xf>
    <xf numFmtId="44" fontId="16" fillId="0" borderId="27" xfId="8" applyFont="1" applyFill="1" applyBorder="1"/>
    <xf numFmtId="3" fontId="5" fillId="11" borderId="2" xfId="0" applyNumberFormat="1" applyFont="1" applyFill="1" applyBorder="1" applyAlignment="1">
      <alignment horizontal="center" vertical="center"/>
    </xf>
    <xf numFmtId="165" fontId="28" fillId="11" borderId="2" xfId="7" quotePrefix="1" applyNumberFormat="1" applyFont="1" applyFill="1" applyBorder="1" applyAlignment="1">
      <alignment horizontal="center" vertical="center" wrapText="1"/>
    </xf>
    <xf numFmtId="166" fontId="5" fillId="11" borderId="2" xfId="8" applyNumberFormat="1" applyFont="1" applyFill="1" applyBorder="1" applyAlignment="1">
      <alignment horizontal="center" vertical="center"/>
    </xf>
    <xf numFmtId="166" fontId="5" fillId="11" borderId="4" xfId="8" applyNumberFormat="1" applyFont="1" applyFill="1" applyBorder="1" applyAlignment="1">
      <alignment horizontal="center" vertical="center"/>
    </xf>
    <xf numFmtId="0" fontId="16" fillId="11" borderId="53" xfId="0" applyFont="1" applyFill="1" applyBorder="1" applyAlignment="1">
      <alignment horizontal="left" vertical="center" wrapText="1"/>
    </xf>
    <xf numFmtId="0" fontId="5" fillId="8" borderId="41" xfId="0" applyFont="1" applyFill="1" applyBorder="1"/>
    <xf numFmtId="0" fontId="16" fillId="8" borderId="6" xfId="0" applyFont="1" applyFill="1" applyBorder="1" applyAlignment="1">
      <alignment horizontal="right"/>
    </xf>
    <xf numFmtId="0" fontId="5" fillId="0" borderId="6" xfId="0" applyFont="1" applyBorder="1"/>
    <xf numFmtId="44" fontId="16" fillId="0" borderId="6" xfId="8" applyFont="1" applyFill="1" applyBorder="1"/>
    <xf numFmtId="44" fontId="16" fillId="8" borderId="27" xfId="8" applyFont="1" applyFill="1" applyBorder="1"/>
    <xf numFmtId="166" fontId="5" fillId="13" borderId="2" xfId="8" applyNumberFormat="1" applyFont="1" applyFill="1" applyBorder="1" applyAlignment="1">
      <alignment horizontal="center" vertical="center"/>
    </xf>
    <xf numFmtId="0" fontId="5" fillId="13" borderId="47" xfId="0" applyFont="1" applyFill="1" applyBorder="1"/>
    <xf numFmtId="0" fontId="5" fillId="13" borderId="8" xfId="0" quotePrefix="1" applyFont="1" applyFill="1" applyBorder="1" applyAlignment="1">
      <alignment horizontal="center" vertical="center"/>
    </xf>
    <xf numFmtId="165" fontId="5" fillId="13" borderId="8" xfId="7" applyNumberFormat="1" applyFont="1" applyFill="1" applyBorder="1" applyAlignment="1">
      <alignment horizontal="center" vertical="center"/>
    </xf>
    <xf numFmtId="44" fontId="5" fillId="13" borderId="25" xfId="8" applyFont="1" applyFill="1" applyBorder="1" applyAlignment="1">
      <alignment horizontal="center" vertical="center"/>
    </xf>
    <xf numFmtId="44" fontId="30" fillId="0" borderId="57" xfId="0" applyNumberFormat="1" applyFont="1" applyBorder="1"/>
    <xf numFmtId="44" fontId="30" fillId="0" borderId="59" xfId="0" applyNumberFormat="1" applyFont="1" applyBorder="1"/>
    <xf numFmtId="44" fontId="31" fillId="0" borderId="59" xfId="8" applyFont="1" applyBorder="1"/>
    <xf numFmtId="44" fontId="31" fillId="12" borderId="57" xfId="8" applyFont="1" applyFill="1" applyBorder="1"/>
    <xf numFmtId="44" fontId="5" fillId="8" borderId="60" xfId="8" applyFont="1" applyFill="1" applyBorder="1" applyAlignment="1">
      <alignment horizontal="center" vertical="center"/>
    </xf>
    <xf numFmtId="0" fontId="5" fillId="11" borderId="0" xfId="0" applyFont="1" applyFill="1" applyAlignment="1">
      <alignment horizontal="center"/>
    </xf>
    <xf numFmtId="44" fontId="5" fillId="11" borderId="0" xfId="8" applyFont="1" applyFill="1" applyBorder="1"/>
    <xf numFmtId="41" fontId="5" fillId="0" borderId="0" xfId="0" applyNumberFormat="1" applyFont="1"/>
    <xf numFmtId="41" fontId="16" fillId="14" borderId="0" xfId="0" applyNumberFormat="1" applyFont="1" applyFill="1"/>
    <xf numFmtId="43" fontId="32" fillId="15" borderId="0" xfId="0" applyNumberFormat="1" applyFont="1" applyFill="1" applyAlignment="1">
      <alignment horizontal="center" vertical="center"/>
    </xf>
  </cellXfs>
  <cellStyles count="9">
    <cellStyle name="20% - Accent4" xfId="5" builtinId="42"/>
    <cellStyle name="40% - Accent1" xfId="2" builtinId="31"/>
    <cellStyle name="60% - Accent1" xfId="3" builtinId="32"/>
    <cellStyle name="60% - Accent4" xfId="6" builtinId="44"/>
    <cellStyle name="Accent1" xfId="1" builtinId="29"/>
    <cellStyle name="Accent4" xfId="4" builtinId="41"/>
    <cellStyle name="Comma" xfId="7" builtinId="3"/>
    <cellStyle name="Currency" xfId="8"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0ABE3-7D2B-F04D-A6D8-4E20F728A6DF}">
  <sheetPr>
    <tabColor rgb="FF002060"/>
  </sheetPr>
  <dimension ref="B3:H152"/>
  <sheetViews>
    <sheetView showGridLines="0" tabSelected="1" workbookViewId="0">
      <selection activeCell="B3" sqref="B3:H3"/>
    </sheetView>
  </sheetViews>
  <sheetFormatPr baseColWidth="10" defaultColWidth="10.5" defaultRowHeight="16"/>
  <cols>
    <col min="1" max="1" width="7.5" style="1" customWidth="1"/>
    <col min="2" max="2" width="23.33203125" style="1" customWidth="1"/>
    <col min="3" max="3" width="85.6640625" style="1" customWidth="1"/>
    <col min="4" max="4" width="76.33203125" style="1" customWidth="1"/>
    <col min="5" max="5" width="22.83203125" style="1" customWidth="1"/>
    <col min="6" max="6" width="28" style="1" customWidth="1"/>
    <col min="7" max="7" width="75" style="1" customWidth="1"/>
    <col min="8" max="8" width="45.83203125" style="1" customWidth="1"/>
    <col min="9" max="16384" width="10.5" style="1"/>
  </cols>
  <sheetData>
    <row r="3" spans="2:8" ht="35">
      <c r="B3" s="175" t="s">
        <v>0</v>
      </c>
      <c r="C3" s="175"/>
      <c r="D3" s="175"/>
      <c r="E3" s="175"/>
      <c r="F3" s="175"/>
      <c r="G3" s="175"/>
      <c r="H3" s="175"/>
    </row>
    <row r="4" spans="2:8" ht="26">
      <c r="B4" s="176" t="s">
        <v>1</v>
      </c>
      <c r="C4" s="176"/>
      <c r="D4" s="176"/>
      <c r="E4" s="176"/>
      <c r="F4" s="176"/>
      <c r="G4" s="176"/>
      <c r="H4" s="176"/>
    </row>
    <row r="5" spans="2:8" ht="31">
      <c r="C5" s="252" t="s">
        <v>2</v>
      </c>
      <c r="D5" s="252"/>
      <c r="E5" s="252"/>
      <c r="F5" s="252"/>
      <c r="G5" s="252"/>
    </row>
    <row r="7" spans="2:8" ht="21">
      <c r="B7" s="2" t="s">
        <v>3</v>
      </c>
    </row>
    <row r="8" spans="2:8" ht="17" thickBot="1"/>
    <row r="9" spans="2:8" ht="27" customHeight="1">
      <c r="B9" s="177" t="s">
        <v>4</v>
      </c>
      <c r="C9" s="178"/>
      <c r="D9" s="179" t="s">
        <v>5</v>
      </c>
      <c r="E9" s="180"/>
      <c r="F9" s="180"/>
      <c r="G9" s="180"/>
      <c r="H9" s="181"/>
    </row>
    <row r="10" spans="2:8" ht="32.25" customHeight="1">
      <c r="B10" s="182" t="s">
        <v>6</v>
      </c>
      <c r="C10" s="183"/>
      <c r="D10" s="184" t="s">
        <v>7</v>
      </c>
      <c r="E10" s="185"/>
      <c r="F10" s="185"/>
      <c r="G10" s="185"/>
      <c r="H10" s="186"/>
    </row>
    <row r="11" spans="2:8" ht="31.5" customHeight="1" thickBot="1">
      <c r="B11" s="166" t="s">
        <v>8</v>
      </c>
      <c r="C11" s="167"/>
      <c r="D11" s="168" t="s">
        <v>9</v>
      </c>
      <c r="E11" s="169"/>
      <c r="F11" s="169"/>
      <c r="G11" s="169"/>
      <c r="H11" s="170"/>
    </row>
    <row r="13" spans="2:8" ht="21">
      <c r="B13" s="2" t="s">
        <v>10</v>
      </c>
    </row>
    <row r="14" spans="2:8" ht="17" thickBot="1"/>
    <row r="15" spans="2:8" s="4" customFormat="1" ht="16.5" customHeight="1">
      <c r="B15" s="171" t="s">
        <v>11</v>
      </c>
      <c r="C15" s="254" t="s">
        <v>12</v>
      </c>
      <c r="D15" s="255"/>
      <c r="E15" s="255"/>
      <c r="F15" s="256"/>
      <c r="G15" s="3" t="s">
        <v>13</v>
      </c>
      <c r="H15" s="35"/>
    </row>
    <row r="16" spans="2:8" s="4" customFormat="1" ht="16.5" customHeight="1">
      <c r="B16" s="172"/>
      <c r="C16" s="257"/>
      <c r="D16" s="258"/>
      <c r="E16" s="258"/>
      <c r="F16" s="259"/>
      <c r="G16" s="31" t="s">
        <v>14</v>
      </c>
      <c r="H16" s="173" t="s">
        <v>15</v>
      </c>
    </row>
    <row r="17" spans="2:8" s="4" customFormat="1" ht="33" customHeight="1">
      <c r="B17" s="172"/>
      <c r="C17" s="260"/>
      <c r="D17" s="261"/>
      <c r="E17" s="261"/>
      <c r="F17" s="262"/>
      <c r="G17" s="32"/>
      <c r="H17" s="174"/>
    </row>
    <row r="18" spans="2:8" ht="42" customHeight="1">
      <c r="B18" s="33" t="s">
        <v>2</v>
      </c>
      <c r="C18" s="263" t="s">
        <v>16</v>
      </c>
      <c r="D18" s="264"/>
      <c r="E18" s="264"/>
      <c r="F18" s="265"/>
      <c r="G18" s="34" t="s">
        <v>17</v>
      </c>
      <c r="H18" s="79" t="s">
        <v>18</v>
      </c>
    </row>
    <row r="19" spans="2:8" ht="38.5" customHeight="1">
      <c r="B19" s="33">
        <v>1</v>
      </c>
      <c r="C19" s="163" t="s">
        <v>19</v>
      </c>
      <c r="D19" s="164"/>
      <c r="E19" s="164"/>
      <c r="F19" s="165"/>
      <c r="G19" s="34" t="s">
        <v>20</v>
      </c>
      <c r="H19" s="36" t="s">
        <v>21</v>
      </c>
    </row>
    <row r="20" spans="2:8" ht="15.75" customHeight="1">
      <c r="B20" s="33">
        <f>B19+1</f>
        <v>2</v>
      </c>
      <c r="C20" s="163" t="s">
        <v>22</v>
      </c>
      <c r="D20" s="164"/>
      <c r="E20" s="164"/>
      <c r="F20" s="165"/>
      <c r="G20" s="34" t="s">
        <v>23</v>
      </c>
      <c r="H20" s="36" t="s">
        <v>24</v>
      </c>
    </row>
    <row r="21" spans="2:8" ht="15.75" customHeight="1">
      <c r="B21" s="33">
        <f t="shared" ref="B21:B29" si="0">B20+1</f>
        <v>3</v>
      </c>
      <c r="C21" s="163" t="s">
        <v>25</v>
      </c>
      <c r="D21" s="164"/>
      <c r="E21" s="164"/>
      <c r="F21" s="165"/>
      <c r="G21" s="34" t="s">
        <v>26</v>
      </c>
      <c r="H21" s="36" t="s">
        <v>27</v>
      </c>
    </row>
    <row r="22" spans="2:8" ht="15.75" customHeight="1">
      <c r="B22" s="33">
        <f t="shared" si="0"/>
        <v>4</v>
      </c>
      <c r="C22" s="163" t="s">
        <v>28</v>
      </c>
      <c r="D22" s="164"/>
      <c r="E22" s="164"/>
      <c r="F22" s="165"/>
      <c r="G22" s="34" t="s">
        <v>29</v>
      </c>
      <c r="H22" s="36" t="s">
        <v>27</v>
      </c>
    </row>
    <row r="23" spans="2:8" ht="15.75" customHeight="1">
      <c r="B23" s="33">
        <f t="shared" si="0"/>
        <v>5</v>
      </c>
      <c r="C23" s="163" t="s">
        <v>30</v>
      </c>
      <c r="D23" s="164"/>
      <c r="E23" s="164"/>
      <c r="F23" s="165"/>
      <c r="G23" s="34" t="s">
        <v>31</v>
      </c>
      <c r="H23" s="36" t="s">
        <v>32</v>
      </c>
    </row>
    <row r="24" spans="2:8" ht="15.75" customHeight="1">
      <c r="B24" s="33">
        <f t="shared" si="0"/>
        <v>6</v>
      </c>
      <c r="C24" s="163" t="s">
        <v>33</v>
      </c>
      <c r="D24" s="164"/>
      <c r="E24" s="164"/>
      <c r="F24" s="165"/>
      <c r="G24" s="34" t="s">
        <v>34</v>
      </c>
      <c r="H24" s="36" t="s">
        <v>35</v>
      </c>
    </row>
    <row r="25" spans="2:8" ht="15.75" customHeight="1">
      <c r="B25" s="33">
        <f t="shared" si="0"/>
        <v>7</v>
      </c>
      <c r="C25" s="163" t="s">
        <v>36</v>
      </c>
      <c r="D25" s="164"/>
      <c r="E25" s="164"/>
      <c r="F25" s="165"/>
      <c r="G25" s="34" t="s">
        <v>37</v>
      </c>
      <c r="H25" s="36" t="s">
        <v>38</v>
      </c>
    </row>
    <row r="26" spans="2:8" ht="15.75" customHeight="1">
      <c r="B26" s="33">
        <f t="shared" si="0"/>
        <v>8</v>
      </c>
      <c r="C26" s="163" t="s">
        <v>39</v>
      </c>
      <c r="D26" s="164"/>
      <c r="E26" s="164"/>
      <c r="F26" s="165"/>
      <c r="G26" s="34" t="s">
        <v>40</v>
      </c>
      <c r="H26" s="36" t="s">
        <v>41</v>
      </c>
    </row>
    <row r="27" spans="2:8" ht="15.75" customHeight="1">
      <c r="B27" s="33">
        <f t="shared" si="0"/>
        <v>9</v>
      </c>
      <c r="C27" s="163" t="s">
        <v>42</v>
      </c>
      <c r="D27" s="164"/>
      <c r="E27" s="164"/>
      <c r="F27" s="165"/>
      <c r="G27" s="34" t="s">
        <v>43</v>
      </c>
      <c r="H27" s="36" t="s">
        <v>44</v>
      </c>
    </row>
    <row r="28" spans="2:8" ht="15.75" customHeight="1">
      <c r="B28" s="33">
        <f t="shared" si="0"/>
        <v>10</v>
      </c>
      <c r="C28" s="163" t="s">
        <v>45</v>
      </c>
      <c r="D28" s="164"/>
      <c r="E28" s="164"/>
      <c r="F28" s="165"/>
      <c r="G28" s="34" t="s">
        <v>46</v>
      </c>
      <c r="H28" s="36" t="s">
        <v>47</v>
      </c>
    </row>
    <row r="29" spans="2:8" ht="15.75" customHeight="1" thickBot="1">
      <c r="B29" s="37">
        <f t="shared" si="0"/>
        <v>11</v>
      </c>
      <c r="C29" s="249" t="s">
        <v>48</v>
      </c>
      <c r="D29" s="250"/>
      <c r="E29" s="250"/>
      <c r="F29" s="251"/>
      <c r="G29" s="38" t="s">
        <v>49</v>
      </c>
      <c r="H29" s="39" t="s">
        <v>50</v>
      </c>
    </row>
    <row r="30" spans="2:8" ht="32.25" customHeight="1">
      <c r="B30" s="1" t="s">
        <v>286</v>
      </c>
      <c r="C30" s="5"/>
      <c r="D30" s="6"/>
      <c r="E30" s="6"/>
      <c r="F30" s="6"/>
      <c r="G30" s="6"/>
    </row>
    <row r="31" spans="2:8" ht="7.5" customHeight="1" thickBot="1">
      <c r="B31" s="7"/>
      <c r="C31" s="7"/>
      <c r="D31" s="7"/>
      <c r="E31" s="7"/>
      <c r="F31" s="7"/>
      <c r="G31" s="7"/>
      <c r="H31" s="7"/>
    </row>
    <row r="32" spans="2:8" ht="17" hidden="1" thickBot="1"/>
    <row r="33" spans="2:8" ht="22" hidden="1" thickBot="1">
      <c r="B33" s="2" t="s">
        <v>51</v>
      </c>
    </row>
    <row r="34" spans="2:8" ht="59.25" customHeight="1">
      <c r="B34" s="187" t="s">
        <v>52</v>
      </c>
      <c r="C34" s="188"/>
      <c r="D34" s="188"/>
      <c r="E34" s="188"/>
      <c r="F34" s="188"/>
      <c r="G34" s="188"/>
      <c r="H34" s="189"/>
    </row>
    <row r="35" spans="2:8" ht="300" customHeight="1" thickBot="1">
      <c r="B35" s="190"/>
      <c r="C35" s="191"/>
      <c r="D35" s="191"/>
      <c r="E35" s="191"/>
      <c r="F35" s="191"/>
      <c r="G35" s="191"/>
      <c r="H35" s="192"/>
    </row>
    <row r="36" spans="2:8" ht="42" customHeight="1"/>
    <row r="37" spans="2:8" ht="21.75" customHeight="1">
      <c r="B37" s="2" t="s">
        <v>53</v>
      </c>
    </row>
    <row r="38" spans="2:8" ht="19.5" customHeight="1" thickBot="1"/>
    <row r="39" spans="2:8" ht="346" customHeight="1">
      <c r="B39" s="187" t="s">
        <v>287</v>
      </c>
      <c r="C39" s="188"/>
      <c r="D39" s="188"/>
      <c r="E39" s="188"/>
      <c r="F39" s="188"/>
      <c r="G39" s="188"/>
      <c r="H39" s="189"/>
    </row>
    <row r="40" spans="2:8" ht="145" customHeight="1" thickBot="1">
      <c r="B40" s="190"/>
      <c r="C40" s="191"/>
      <c r="D40" s="191"/>
      <c r="E40" s="191"/>
      <c r="F40" s="191"/>
      <c r="G40" s="191"/>
      <c r="H40" s="192"/>
    </row>
    <row r="42" spans="2:8" ht="21">
      <c r="B42" s="2" t="s">
        <v>54</v>
      </c>
    </row>
    <row r="43" spans="2:8" ht="17" thickBot="1"/>
    <row r="44" spans="2:8" ht="27" customHeight="1">
      <c r="B44" s="193" t="s">
        <v>6</v>
      </c>
      <c r="C44" s="194"/>
      <c r="D44" s="195" t="s">
        <v>55</v>
      </c>
      <c r="E44" s="195"/>
      <c r="F44" s="195"/>
      <c r="G44" s="195"/>
      <c r="H44" s="196"/>
    </row>
    <row r="45" spans="2:8" ht="27" customHeight="1">
      <c r="B45" s="197" t="s">
        <v>56</v>
      </c>
      <c r="C45" s="198"/>
      <c r="D45" s="199" t="s">
        <v>57</v>
      </c>
      <c r="E45" s="200"/>
      <c r="F45" s="200"/>
      <c r="G45" s="200"/>
      <c r="H45" s="201"/>
    </row>
    <row r="46" spans="2:8" ht="32.25" customHeight="1" thickBot="1">
      <c r="B46" s="166" t="s">
        <v>309</v>
      </c>
      <c r="C46" s="206"/>
      <c r="D46" s="207" t="s">
        <v>58</v>
      </c>
      <c r="E46" s="207"/>
      <c r="F46" s="207"/>
      <c r="G46" s="207"/>
      <c r="H46" s="208"/>
    </row>
    <row r="48" spans="2:8" ht="21">
      <c r="B48" s="2" t="s">
        <v>59</v>
      </c>
    </row>
    <row r="49" spans="2:8" ht="17" thickBot="1"/>
    <row r="50" spans="2:8" ht="33" customHeight="1">
      <c r="B50" s="209" t="s">
        <v>60</v>
      </c>
      <c r="C50" s="211" t="s">
        <v>61</v>
      </c>
      <c r="D50" s="213" t="s">
        <v>62</v>
      </c>
      <c r="E50" s="214"/>
      <c r="F50" s="214"/>
      <c r="G50" s="214" t="s">
        <v>63</v>
      </c>
      <c r="H50" s="215"/>
    </row>
    <row r="51" spans="2:8" ht="17">
      <c r="B51" s="210"/>
      <c r="C51" s="212"/>
      <c r="D51" s="41" t="s">
        <v>64</v>
      </c>
      <c r="E51" s="41" t="s">
        <v>65</v>
      </c>
      <c r="F51" s="41" t="s">
        <v>66</v>
      </c>
      <c r="G51" s="41" t="s">
        <v>67</v>
      </c>
      <c r="H51" s="48" t="s">
        <v>68</v>
      </c>
    </row>
    <row r="52" spans="2:8" ht="75.75" customHeight="1">
      <c r="B52" s="202" t="s">
        <v>69</v>
      </c>
      <c r="C52" s="203" t="s">
        <v>288</v>
      </c>
      <c r="D52" s="12" t="s">
        <v>70</v>
      </c>
      <c r="E52" s="52" t="s">
        <v>71</v>
      </c>
      <c r="F52" s="45" t="s">
        <v>72</v>
      </c>
      <c r="G52" s="46" t="s">
        <v>73</v>
      </c>
      <c r="H52" s="204" t="s">
        <v>74</v>
      </c>
    </row>
    <row r="53" spans="2:8" ht="75.75" customHeight="1">
      <c r="B53" s="202"/>
      <c r="C53" s="203"/>
      <c r="D53" s="8" t="s">
        <v>75</v>
      </c>
      <c r="E53" s="52" t="s">
        <v>76</v>
      </c>
      <c r="F53" s="45" t="s">
        <v>72</v>
      </c>
      <c r="G53" s="47" t="s">
        <v>73</v>
      </c>
      <c r="H53" s="204"/>
    </row>
    <row r="54" spans="2:8" ht="75.75" customHeight="1">
      <c r="B54" s="202"/>
      <c r="C54" s="203"/>
      <c r="D54" s="8" t="s">
        <v>77</v>
      </c>
      <c r="E54" s="52" t="s">
        <v>78</v>
      </c>
      <c r="F54" s="45" t="s">
        <v>72</v>
      </c>
      <c r="G54" s="47" t="s">
        <v>73</v>
      </c>
      <c r="H54" s="204"/>
    </row>
    <row r="55" spans="2:8" ht="75.75" customHeight="1">
      <c r="B55" s="202"/>
      <c r="C55" s="203"/>
      <c r="D55" s="8" t="s">
        <v>79</v>
      </c>
      <c r="E55" s="52" t="s">
        <v>78</v>
      </c>
      <c r="F55" s="45" t="s">
        <v>80</v>
      </c>
      <c r="G55" s="47" t="s">
        <v>73</v>
      </c>
      <c r="H55" s="204"/>
    </row>
    <row r="56" spans="2:8" ht="75.75" customHeight="1">
      <c r="B56" s="202"/>
      <c r="C56" s="203"/>
      <c r="D56" s="8" t="s">
        <v>81</v>
      </c>
      <c r="E56" s="53" t="s">
        <v>78</v>
      </c>
      <c r="F56" s="9" t="s">
        <v>82</v>
      </c>
      <c r="G56" s="10" t="s">
        <v>83</v>
      </c>
      <c r="H56" s="204"/>
    </row>
    <row r="57" spans="2:8" ht="49" customHeight="1">
      <c r="B57" s="202"/>
      <c r="C57" s="203"/>
      <c r="D57" s="8" t="s">
        <v>84</v>
      </c>
      <c r="E57" s="53" t="s">
        <v>85</v>
      </c>
      <c r="F57" s="9" t="s">
        <v>86</v>
      </c>
      <c r="G57" s="10" t="s">
        <v>87</v>
      </c>
      <c r="H57" s="204"/>
    </row>
    <row r="58" spans="2:8" ht="63" customHeight="1">
      <c r="B58" s="202"/>
      <c r="C58" s="203"/>
      <c r="D58" s="8" t="s">
        <v>88</v>
      </c>
      <c r="E58" s="53" t="s">
        <v>89</v>
      </c>
      <c r="F58" s="9" t="s">
        <v>86</v>
      </c>
      <c r="G58" s="10" t="s">
        <v>90</v>
      </c>
      <c r="H58" s="204"/>
    </row>
    <row r="59" spans="2:8" ht="58" customHeight="1">
      <c r="B59" s="202"/>
      <c r="C59" s="203"/>
      <c r="D59" s="8" t="s">
        <v>91</v>
      </c>
      <c r="E59" s="53" t="s">
        <v>85</v>
      </c>
      <c r="F59" s="9" t="s">
        <v>86</v>
      </c>
      <c r="G59" s="10" t="s">
        <v>92</v>
      </c>
      <c r="H59" s="204"/>
    </row>
    <row r="60" spans="2:8" ht="89.5" customHeight="1">
      <c r="B60" s="205" t="s">
        <v>93</v>
      </c>
      <c r="C60" s="203" t="s">
        <v>291</v>
      </c>
      <c r="D60" s="8" t="s">
        <v>94</v>
      </c>
      <c r="E60" s="11" t="s">
        <v>95</v>
      </c>
      <c r="F60" s="9" t="s">
        <v>96</v>
      </c>
      <c r="G60" s="17" t="s">
        <v>97</v>
      </c>
      <c r="H60" s="49" t="s">
        <v>98</v>
      </c>
    </row>
    <row r="61" spans="2:8" ht="130" customHeight="1">
      <c r="B61" s="205"/>
      <c r="C61" s="203"/>
      <c r="D61" s="8" t="s">
        <v>99</v>
      </c>
      <c r="E61" s="11" t="s">
        <v>100</v>
      </c>
      <c r="F61" s="9" t="s">
        <v>101</v>
      </c>
      <c r="G61" s="17" t="s">
        <v>102</v>
      </c>
      <c r="H61" s="50" t="s">
        <v>103</v>
      </c>
    </row>
    <row r="62" spans="2:8" ht="93.75" customHeight="1">
      <c r="B62" s="205"/>
      <c r="C62" s="203"/>
      <c r="D62" s="8" t="s">
        <v>104</v>
      </c>
      <c r="E62" s="11" t="s">
        <v>105</v>
      </c>
      <c r="F62" s="11" t="s">
        <v>106</v>
      </c>
      <c r="G62" s="11" t="s">
        <v>107</v>
      </c>
      <c r="H62" s="49" t="s">
        <v>108</v>
      </c>
    </row>
    <row r="63" spans="2:8" ht="121" customHeight="1">
      <c r="B63" s="205"/>
      <c r="C63" s="203"/>
      <c r="D63" s="8" t="s">
        <v>99</v>
      </c>
      <c r="E63" s="11" t="s">
        <v>100</v>
      </c>
      <c r="F63" s="9" t="s">
        <v>109</v>
      </c>
      <c r="G63" s="17" t="s">
        <v>102</v>
      </c>
      <c r="H63" s="49" t="s">
        <v>103</v>
      </c>
    </row>
    <row r="64" spans="2:8" ht="88" customHeight="1">
      <c r="B64" s="205"/>
      <c r="C64" s="203" t="s">
        <v>289</v>
      </c>
      <c r="D64" s="12" t="s">
        <v>110</v>
      </c>
      <c r="E64" s="53" t="s">
        <v>111</v>
      </c>
      <c r="F64" s="13" t="s">
        <v>112</v>
      </c>
      <c r="G64" s="40" t="s">
        <v>113</v>
      </c>
      <c r="H64" s="54" t="s">
        <v>114</v>
      </c>
    </row>
    <row r="65" spans="2:8" ht="34">
      <c r="B65" s="205"/>
      <c r="C65" s="203"/>
      <c r="D65" s="12" t="s">
        <v>115</v>
      </c>
      <c r="E65" s="53" t="s">
        <v>116</v>
      </c>
      <c r="F65" s="9" t="s">
        <v>117</v>
      </c>
      <c r="G65" s="17" t="s">
        <v>118</v>
      </c>
      <c r="H65" s="54" t="s">
        <v>119</v>
      </c>
    </row>
    <row r="66" spans="2:8" ht="55.5" customHeight="1">
      <c r="B66" s="205"/>
      <c r="C66" s="203"/>
      <c r="D66" s="12" t="s">
        <v>120</v>
      </c>
      <c r="E66" s="53" t="s">
        <v>121</v>
      </c>
      <c r="F66" s="9" t="s">
        <v>122</v>
      </c>
      <c r="G66" s="17" t="s">
        <v>123</v>
      </c>
      <c r="H66" s="54" t="s">
        <v>124</v>
      </c>
    </row>
    <row r="67" spans="2:8" s="7" customFormat="1" ht="71.25" customHeight="1">
      <c r="B67" s="205"/>
      <c r="C67" s="10" t="s">
        <v>292</v>
      </c>
      <c r="D67" s="12" t="s">
        <v>125</v>
      </c>
      <c r="E67" s="8" t="s">
        <v>126</v>
      </c>
      <c r="F67" s="9" t="s">
        <v>127</v>
      </c>
      <c r="G67" s="17" t="s">
        <v>128</v>
      </c>
      <c r="H67" s="55" t="s">
        <v>129</v>
      </c>
    </row>
    <row r="68" spans="2:8" s="7" customFormat="1" ht="71.25" customHeight="1">
      <c r="B68" s="205"/>
      <c r="C68" s="10" t="s">
        <v>130</v>
      </c>
      <c r="D68" s="11" t="s">
        <v>131</v>
      </c>
      <c r="E68" s="8" t="s">
        <v>132</v>
      </c>
      <c r="F68" s="9" t="s">
        <v>133</v>
      </c>
      <c r="G68" s="17" t="s">
        <v>134</v>
      </c>
      <c r="H68" s="55" t="s">
        <v>135</v>
      </c>
    </row>
    <row r="69" spans="2:8" ht="79" customHeight="1">
      <c r="B69" s="205" t="s">
        <v>136</v>
      </c>
      <c r="C69" s="203" t="s">
        <v>290</v>
      </c>
      <c r="D69" s="12" t="s">
        <v>137</v>
      </c>
      <c r="E69" s="53" t="s">
        <v>132</v>
      </c>
      <c r="F69" s="9" t="s">
        <v>86</v>
      </c>
      <c r="G69" s="17" t="s">
        <v>138</v>
      </c>
      <c r="H69" s="56" t="s">
        <v>139</v>
      </c>
    </row>
    <row r="70" spans="2:8" ht="63" customHeight="1">
      <c r="B70" s="205"/>
      <c r="C70" s="203"/>
      <c r="D70" s="12" t="s">
        <v>140</v>
      </c>
      <c r="E70" s="52" t="s">
        <v>308</v>
      </c>
      <c r="F70" s="9" t="s">
        <v>141</v>
      </c>
      <c r="G70" s="17" t="s">
        <v>142</v>
      </c>
      <c r="H70" s="50" t="s">
        <v>143</v>
      </c>
    </row>
    <row r="71" spans="2:8" ht="63" customHeight="1">
      <c r="B71" s="205"/>
      <c r="C71" s="217" t="s">
        <v>130</v>
      </c>
      <c r="D71" s="12" t="s">
        <v>144</v>
      </c>
      <c r="E71" s="8" t="s">
        <v>132</v>
      </c>
      <c r="F71" s="9" t="s">
        <v>86</v>
      </c>
      <c r="G71" s="17" t="s">
        <v>134</v>
      </c>
      <c r="H71" s="55" t="s">
        <v>135</v>
      </c>
    </row>
    <row r="72" spans="2:8" ht="63" customHeight="1" thickBot="1">
      <c r="B72" s="168"/>
      <c r="C72" s="219"/>
      <c r="D72" s="14" t="s">
        <v>145</v>
      </c>
      <c r="E72" s="57" t="s">
        <v>146</v>
      </c>
      <c r="F72" s="15" t="s">
        <v>147</v>
      </c>
      <c r="G72" s="24" t="s">
        <v>148</v>
      </c>
      <c r="H72" s="51" t="s">
        <v>149</v>
      </c>
    </row>
    <row r="73" spans="2:8" ht="47.25" customHeight="1">
      <c r="B73" s="220" t="s">
        <v>150</v>
      </c>
      <c r="C73" s="220"/>
      <c r="D73" s="220"/>
      <c r="E73" s="220"/>
      <c r="F73" s="220"/>
      <c r="G73" s="220"/>
      <c r="H73" s="220"/>
    </row>
    <row r="74" spans="2:8" ht="17" thickBot="1"/>
    <row r="75" spans="2:8" ht="28.5" customHeight="1">
      <c r="B75" s="177" t="s">
        <v>4</v>
      </c>
      <c r="C75" s="221"/>
      <c r="D75" s="222" t="s">
        <v>151</v>
      </c>
      <c r="E75" s="222"/>
      <c r="F75" s="222"/>
      <c r="G75" s="222"/>
      <c r="H75" s="222"/>
    </row>
    <row r="76" spans="2:8">
      <c r="B76" s="197" t="s">
        <v>56</v>
      </c>
      <c r="C76" s="216"/>
      <c r="D76" s="217" t="s">
        <v>152</v>
      </c>
      <c r="E76" s="217"/>
      <c r="F76" s="217"/>
      <c r="G76" s="217"/>
      <c r="H76" s="217"/>
    </row>
    <row r="77" spans="2:8" ht="42" customHeight="1" thickBot="1">
      <c r="B77" s="166" t="s">
        <v>310</v>
      </c>
      <c r="C77" s="218"/>
      <c r="D77" s="219" t="s">
        <v>153</v>
      </c>
      <c r="E77" s="219"/>
      <c r="F77" s="219"/>
      <c r="G77" s="219"/>
      <c r="H77" s="219"/>
    </row>
    <row r="79" spans="2:8" ht="21">
      <c r="B79" s="2" t="s">
        <v>154</v>
      </c>
    </row>
    <row r="80" spans="2:8" ht="17" thickBot="1"/>
    <row r="81" spans="2:8" ht="37.5" customHeight="1">
      <c r="B81" s="209" t="s">
        <v>60</v>
      </c>
      <c r="C81" s="211" t="s">
        <v>61</v>
      </c>
      <c r="D81" s="213" t="s">
        <v>301</v>
      </c>
      <c r="E81" s="214"/>
      <c r="F81" s="214"/>
      <c r="G81" s="214" t="s">
        <v>63</v>
      </c>
      <c r="H81" s="215"/>
    </row>
    <row r="82" spans="2:8" ht="35.5" customHeight="1">
      <c r="B82" s="210"/>
      <c r="C82" s="212"/>
      <c r="D82" s="41" t="s">
        <v>64</v>
      </c>
      <c r="E82" s="41" t="s">
        <v>65</v>
      </c>
      <c r="F82" s="41" t="s">
        <v>66</v>
      </c>
      <c r="G82" s="41" t="s">
        <v>67</v>
      </c>
      <c r="H82" s="48" t="s">
        <v>155</v>
      </c>
    </row>
    <row r="83" spans="2:8" ht="65.25" customHeight="1">
      <c r="B83" s="202" t="s">
        <v>69</v>
      </c>
      <c r="C83" s="203" t="s">
        <v>295</v>
      </c>
      <c r="D83" s="16" t="s">
        <v>156</v>
      </c>
      <c r="E83" s="22" t="s">
        <v>78</v>
      </c>
      <c r="F83" s="10" t="s">
        <v>157</v>
      </c>
      <c r="G83" s="17" t="s">
        <v>90</v>
      </c>
      <c r="H83" s="204" t="s">
        <v>74</v>
      </c>
    </row>
    <row r="84" spans="2:8" ht="65.25" customHeight="1">
      <c r="B84" s="202"/>
      <c r="C84" s="203"/>
      <c r="D84" s="16" t="s">
        <v>158</v>
      </c>
      <c r="E84" s="53" t="s">
        <v>78</v>
      </c>
      <c r="F84" s="8" t="s">
        <v>157</v>
      </c>
      <c r="G84" s="17" t="s">
        <v>90</v>
      </c>
      <c r="H84" s="204"/>
    </row>
    <row r="85" spans="2:8" ht="81" customHeight="1">
      <c r="B85" s="202"/>
      <c r="C85" s="203"/>
      <c r="D85" s="9" t="s">
        <v>159</v>
      </c>
      <c r="E85" s="53" t="s">
        <v>78</v>
      </c>
      <c r="F85" s="8" t="s">
        <v>157</v>
      </c>
      <c r="G85" s="17" t="s">
        <v>90</v>
      </c>
      <c r="H85" s="204"/>
    </row>
    <row r="86" spans="2:8" ht="51.75" customHeight="1">
      <c r="B86" s="202"/>
      <c r="C86" s="203"/>
      <c r="D86" s="16" t="s">
        <v>160</v>
      </c>
      <c r="E86" s="53" t="s">
        <v>78</v>
      </c>
      <c r="F86" s="8" t="s">
        <v>157</v>
      </c>
      <c r="G86" s="17" t="s">
        <v>90</v>
      </c>
      <c r="H86" s="204"/>
    </row>
    <row r="87" spans="2:8" ht="108" customHeight="1">
      <c r="B87" s="202"/>
      <c r="C87" s="203"/>
      <c r="D87" s="12" t="s">
        <v>81</v>
      </c>
      <c r="E87" s="53" t="s">
        <v>78</v>
      </c>
      <c r="F87" s="8" t="s">
        <v>82</v>
      </c>
      <c r="G87" s="17" t="s">
        <v>90</v>
      </c>
      <c r="H87" s="204"/>
    </row>
    <row r="88" spans="2:8" ht="69" customHeight="1">
      <c r="B88" s="58" t="s">
        <v>93</v>
      </c>
      <c r="C88" s="22" t="s">
        <v>296</v>
      </c>
      <c r="D88" s="12" t="s">
        <v>161</v>
      </c>
      <c r="E88" s="53" t="s">
        <v>162</v>
      </c>
      <c r="F88" s="8" t="s">
        <v>163</v>
      </c>
      <c r="G88" s="17" t="s">
        <v>164</v>
      </c>
      <c r="H88" s="56" t="s">
        <v>165</v>
      </c>
    </row>
    <row r="89" spans="2:8" ht="67" customHeight="1">
      <c r="B89" s="202" t="s">
        <v>166</v>
      </c>
      <c r="C89" s="203" t="s">
        <v>297</v>
      </c>
      <c r="D89" s="12" t="s">
        <v>167</v>
      </c>
      <c r="E89" s="53" t="s">
        <v>168</v>
      </c>
      <c r="F89" s="18" t="s">
        <v>169</v>
      </c>
      <c r="G89" s="227" t="s">
        <v>170</v>
      </c>
      <c r="H89" s="228" t="s">
        <v>293</v>
      </c>
    </row>
    <row r="90" spans="2:8" ht="66.75" customHeight="1">
      <c r="B90" s="202"/>
      <c r="C90" s="203"/>
      <c r="D90" s="12" t="s">
        <v>171</v>
      </c>
      <c r="E90" s="53" t="s">
        <v>172</v>
      </c>
      <c r="F90" s="18" t="s">
        <v>169</v>
      </c>
      <c r="G90" s="227"/>
      <c r="H90" s="228"/>
    </row>
    <row r="91" spans="2:8" ht="66.75" customHeight="1">
      <c r="B91" s="202"/>
      <c r="C91" s="203" t="s">
        <v>298</v>
      </c>
      <c r="D91" s="12" t="s">
        <v>173</v>
      </c>
      <c r="E91" s="53" t="s">
        <v>174</v>
      </c>
      <c r="F91" s="8" t="s">
        <v>175</v>
      </c>
      <c r="G91" s="229" t="s">
        <v>176</v>
      </c>
      <c r="H91" s="204" t="s">
        <v>177</v>
      </c>
    </row>
    <row r="92" spans="2:8" ht="66.75" customHeight="1">
      <c r="B92" s="202"/>
      <c r="C92" s="203"/>
      <c r="D92" s="12" t="s">
        <v>178</v>
      </c>
      <c r="E92" s="53" t="s">
        <v>179</v>
      </c>
      <c r="F92" s="8" t="s">
        <v>180</v>
      </c>
      <c r="G92" s="229"/>
      <c r="H92" s="204"/>
    </row>
    <row r="93" spans="2:8" ht="38.5" customHeight="1">
      <c r="B93" s="202"/>
      <c r="C93" s="22" t="s">
        <v>299</v>
      </c>
      <c r="D93" s="12" t="s">
        <v>181</v>
      </c>
      <c r="E93" s="53" t="s">
        <v>182</v>
      </c>
      <c r="F93" s="18" t="s">
        <v>183</v>
      </c>
      <c r="G93" s="17" t="s">
        <v>184</v>
      </c>
      <c r="H93" s="56" t="s">
        <v>185</v>
      </c>
    </row>
    <row r="94" spans="2:8" ht="144.75" customHeight="1" thickBot="1">
      <c r="B94" s="226"/>
      <c r="C94" s="59" t="s">
        <v>300</v>
      </c>
      <c r="D94" s="60" t="s">
        <v>186</v>
      </c>
      <c r="E94" s="57" t="s">
        <v>187</v>
      </c>
      <c r="F94" s="61" t="s">
        <v>188</v>
      </c>
      <c r="G94" s="24" t="s">
        <v>134</v>
      </c>
      <c r="H94" s="62" t="s">
        <v>294</v>
      </c>
    </row>
    <row r="97" spans="2:8" ht="21">
      <c r="B97" s="19" t="s">
        <v>189</v>
      </c>
    </row>
    <row r="98" spans="2:8" ht="17" thickBot="1">
      <c r="B98" s="20"/>
      <c r="C98" s="21"/>
    </row>
    <row r="99" spans="2:8" ht="59.25" customHeight="1">
      <c r="B99" s="193" t="s">
        <v>6</v>
      </c>
      <c r="C99" s="223"/>
      <c r="D99" s="222" t="s">
        <v>190</v>
      </c>
      <c r="E99" s="222"/>
      <c r="F99" s="222"/>
      <c r="G99" s="222"/>
      <c r="H99" s="222"/>
    </row>
    <row r="100" spans="2:8" ht="33" customHeight="1">
      <c r="B100" s="197" t="s">
        <v>56</v>
      </c>
      <c r="C100" s="216"/>
      <c r="D100" s="224" t="s">
        <v>191</v>
      </c>
      <c r="E100" s="224"/>
      <c r="F100" s="224"/>
      <c r="G100" s="224"/>
      <c r="H100" s="224"/>
    </row>
    <row r="101" spans="2:8" ht="40.5" customHeight="1" thickBot="1">
      <c r="B101" s="166" t="s">
        <v>311</v>
      </c>
      <c r="C101" s="218"/>
      <c r="D101" s="225" t="s">
        <v>192</v>
      </c>
      <c r="E101" s="225"/>
      <c r="F101" s="225"/>
      <c r="G101" s="225"/>
      <c r="H101" s="225"/>
    </row>
    <row r="102" spans="2:8">
      <c r="B102" s="20"/>
      <c r="C102" s="21"/>
    </row>
    <row r="104" spans="2:8" ht="21">
      <c r="B104" s="2" t="s">
        <v>193</v>
      </c>
    </row>
    <row r="105" spans="2:8" ht="17" thickBot="1"/>
    <row r="106" spans="2:8" ht="33" customHeight="1">
      <c r="B106" s="230" t="s">
        <v>60</v>
      </c>
      <c r="C106" s="232" t="s">
        <v>61</v>
      </c>
      <c r="D106" s="234" t="s">
        <v>301</v>
      </c>
      <c r="E106" s="235"/>
      <c r="F106" s="235"/>
      <c r="G106" s="235" t="s">
        <v>63</v>
      </c>
      <c r="H106" s="236"/>
    </row>
    <row r="107" spans="2:8" ht="34">
      <c r="B107" s="231"/>
      <c r="C107" s="233"/>
      <c r="D107" s="63" t="s">
        <v>64</v>
      </c>
      <c r="E107" s="63" t="s">
        <v>65</v>
      </c>
      <c r="F107" s="63" t="s">
        <v>66</v>
      </c>
      <c r="G107" s="63" t="s">
        <v>67</v>
      </c>
      <c r="H107" s="64" t="s">
        <v>155</v>
      </c>
    </row>
    <row r="108" spans="2:8" ht="77.25" customHeight="1">
      <c r="B108" s="237" t="s">
        <v>194</v>
      </c>
      <c r="C108" s="238" t="s">
        <v>302</v>
      </c>
      <c r="D108" s="65" t="s">
        <v>195</v>
      </c>
      <c r="E108" s="66" t="s">
        <v>78</v>
      </c>
      <c r="F108" s="67" t="s">
        <v>196</v>
      </c>
      <c r="G108" s="239" t="s">
        <v>197</v>
      </c>
      <c r="H108" s="240" t="s">
        <v>198</v>
      </c>
    </row>
    <row r="109" spans="2:8" ht="89.25" customHeight="1">
      <c r="B109" s="237"/>
      <c r="C109" s="238"/>
      <c r="D109" s="65" t="s">
        <v>199</v>
      </c>
      <c r="E109" s="66" t="s">
        <v>78</v>
      </c>
      <c r="F109" s="67" t="s">
        <v>196</v>
      </c>
      <c r="G109" s="239" t="s">
        <v>197</v>
      </c>
      <c r="H109" s="240"/>
    </row>
    <row r="110" spans="2:8" ht="111" customHeight="1">
      <c r="B110" s="237"/>
      <c r="C110" s="238"/>
      <c r="D110" s="65" t="s">
        <v>200</v>
      </c>
      <c r="E110" s="68" t="s">
        <v>78</v>
      </c>
      <c r="F110" s="67" t="s">
        <v>157</v>
      </c>
      <c r="G110" s="239" t="s">
        <v>90</v>
      </c>
      <c r="H110" s="69" t="s">
        <v>74</v>
      </c>
    </row>
    <row r="111" spans="2:8" ht="76.5" customHeight="1">
      <c r="B111" s="237"/>
      <c r="C111" s="238"/>
      <c r="D111" s="65" t="s">
        <v>201</v>
      </c>
      <c r="E111" s="68" t="s">
        <v>174</v>
      </c>
      <c r="F111" s="67" t="s">
        <v>202</v>
      </c>
      <c r="G111" s="239" t="s">
        <v>203</v>
      </c>
      <c r="H111" s="69" t="s">
        <v>204</v>
      </c>
    </row>
    <row r="112" spans="2:8" ht="72" customHeight="1">
      <c r="B112" s="237"/>
      <c r="C112" s="238"/>
      <c r="D112" s="65" t="s">
        <v>205</v>
      </c>
      <c r="E112" s="68" t="s">
        <v>78</v>
      </c>
      <c r="F112" s="67" t="s">
        <v>206</v>
      </c>
      <c r="G112" s="239" t="s">
        <v>197</v>
      </c>
      <c r="H112" s="69" t="s">
        <v>207</v>
      </c>
    </row>
    <row r="113" spans="2:8" ht="69.75" customHeight="1">
      <c r="B113" s="237"/>
      <c r="C113" s="238"/>
      <c r="D113" s="65" t="s">
        <v>208</v>
      </c>
      <c r="E113" s="68" t="s">
        <v>78</v>
      </c>
      <c r="F113" s="67" t="s">
        <v>209</v>
      </c>
      <c r="G113" s="239"/>
      <c r="H113" s="69" t="s">
        <v>204</v>
      </c>
    </row>
    <row r="114" spans="2:8" ht="120" customHeight="1">
      <c r="B114" s="237"/>
      <c r="C114" s="238"/>
      <c r="D114" s="65" t="s">
        <v>210</v>
      </c>
      <c r="E114" s="68" t="s">
        <v>211</v>
      </c>
      <c r="F114" s="68" t="s">
        <v>212</v>
      </c>
      <c r="G114" s="239"/>
      <c r="H114" s="69" t="s">
        <v>213</v>
      </c>
    </row>
    <row r="115" spans="2:8" ht="120" customHeight="1">
      <c r="B115" s="237"/>
      <c r="C115" s="238"/>
      <c r="D115" s="65" t="s">
        <v>214</v>
      </c>
      <c r="E115" s="68" t="s">
        <v>215</v>
      </c>
      <c r="F115" s="67" t="s">
        <v>206</v>
      </c>
      <c r="G115" s="239" t="s">
        <v>216</v>
      </c>
      <c r="H115" s="69" t="s">
        <v>74</v>
      </c>
    </row>
    <row r="116" spans="2:8" ht="72.75" customHeight="1">
      <c r="B116" s="244" t="s">
        <v>217</v>
      </c>
      <c r="C116" s="238" t="s">
        <v>303</v>
      </c>
      <c r="D116" s="65" t="s">
        <v>218</v>
      </c>
      <c r="E116" s="68" t="s">
        <v>219</v>
      </c>
      <c r="F116" s="67" t="s">
        <v>209</v>
      </c>
      <c r="G116" s="43" t="s">
        <v>220</v>
      </c>
      <c r="H116" s="240" t="s">
        <v>221</v>
      </c>
    </row>
    <row r="117" spans="2:8" ht="72.75" customHeight="1">
      <c r="B117" s="244"/>
      <c r="C117" s="238"/>
      <c r="D117" s="70" t="s">
        <v>222</v>
      </c>
      <c r="E117" s="71" t="s">
        <v>223</v>
      </c>
      <c r="F117" s="67" t="s">
        <v>224</v>
      </c>
      <c r="G117" s="43" t="s">
        <v>225</v>
      </c>
      <c r="H117" s="240"/>
    </row>
    <row r="118" spans="2:8" ht="89.25" customHeight="1">
      <c r="B118" s="244"/>
      <c r="C118" s="238"/>
      <c r="D118" s="65" t="s">
        <v>226</v>
      </c>
      <c r="E118" s="68" t="s">
        <v>215</v>
      </c>
      <c r="F118" s="67" t="s">
        <v>206</v>
      </c>
      <c r="G118" s="239" t="s">
        <v>227</v>
      </c>
      <c r="H118" s="240"/>
    </row>
    <row r="119" spans="2:8" ht="89.25" customHeight="1">
      <c r="B119" s="244"/>
      <c r="C119" s="238"/>
      <c r="D119" s="65" t="s">
        <v>228</v>
      </c>
      <c r="E119" s="68" t="s">
        <v>215</v>
      </c>
      <c r="F119" s="67" t="s">
        <v>206</v>
      </c>
      <c r="G119" s="239"/>
      <c r="H119" s="240"/>
    </row>
    <row r="120" spans="2:8" ht="63.75" customHeight="1">
      <c r="B120" s="244"/>
      <c r="C120" s="238"/>
      <c r="D120" s="65" t="s">
        <v>229</v>
      </c>
      <c r="E120" s="68" t="s">
        <v>219</v>
      </c>
      <c r="F120" s="42" t="s">
        <v>133</v>
      </c>
      <c r="G120" s="239"/>
      <c r="H120" s="240"/>
    </row>
    <row r="121" spans="2:8" s="23" customFormat="1" ht="34">
      <c r="B121" s="245" t="s">
        <v>230</v>
      </c>
      <c r="C121" s="44" t="s">
        <v>130</v>
      </c>
      <c r="D121" s="71" t="s">
        <v>131</v>
      </c>
      <c r="E121" s="65" t="s">
        <v>132</v>
      </c>
      <c r="F121" s="65" t="s">
        <v>133</v>
      </c>
      <c r="G121" s="43" t="s">
        <v>134</v>
      </c>
      <c r="H121" s="240"/>
    </row>
    <row r="122" spans="2:8" ht="34">
      <c r="B122" s="245"/>
      <c r="C122" s="71" t="s">
        <v>304</v>
      </c>
      <c r="D122" s="65" t="s">
        <v>306</v>
      </c>
      <c r="E122" s="72" t="s">
        <v>231</v>
      </c>
      <c r="F122" s="67" t="s">
        <v>232</v>
      </c>
      <c r="G122" s="44" t="s">
        <v>233</v>
      </c>
      <c r="H122" s="240"/>
    </row>
    <row r="123" spans="2:8" ht="43.5" customHeight="1">
      <c r="B123" s="245"/>
      <c r="C123" s="238" t="s">
        <v>305</v>
      </c>
      <c r="D123" s="65" t="s">
        <v>234</v>
      </c>
      <c r="E123" s="68" t="s">
        <v>132</v>
      </c>
      <c r="F123" s="42" t="s">
        <v>235</v>
      </c>
      <c r="G123" s="43" t="s">
        <v>236</v>
      </c>
      <c r="H123" s="240"/>
    </row>
    <row r="124" spans="2:8" ht="45.75" customHeight="1" thickBot="1">
      <c r="B124" s="246"/>
      <c r="C124" s="248"/>
      <c r="D124" s="73" t="s">
        <v>237</v>
      </c>
      <c r="E124" s="74" t="s">
        <v>132</v>
      </c>
      <c r="F124" s="75" t="s">
        <v>235</v>
      </c>
      <c r="G124" s="76" t="s">
        <v>238</v>
      </c>
      <c r="H124" s="247"/>
    </row>
    <row r="125" spans="2:8">
      <c r="B125" s="25"/>
      <c r="C125" s="26"/>
      <c r="D125" s="27"/>
      <c r="E125" s="28"/>
      <c r="F125" s="28"/>
      <c r="G125" s="29"/>
      <c r="H125" s="29"/>
    </row>
    <row r="126" spans="2:8" ht="21" customHeight="1">
      <c r="B126" s="220" t="s">
        <v>239</v>
      </c>
      <c r="C126" s="220"/>
      <c r="D126" s="220"/>
      <c r="E126" s="220"/>
      <c r="F126" s="220"/>
      <c r="G126" s="220"/>
      <c r="H126" s="220"/>
    </row>
    <row r="127" spans="2:8" ht="21" customHeight="1" thickBot="1"/>
    <row r="128" spans="2:8" ht="21" customHeight="1">
      <c r="B128" s="268" t="s">
        <v>6</v>
      </c>
      <c r="C128" s="269"/>
      <c r="D128" s="270" t="s">
        <v>240</v>
      </c>
      <c r="E128" s="222"/>
      <c r="F128" s="222"/>
      <c r="G128" s="222"/>
      <c r="H128" s="222"/>
    </row>
    <row r="129" spans="2:8">
      <c r="B129" s="241" t="s">
        <v>56</v>
      </c>
      <c r="C129" s="242"/>
      <c r="D129" s="243" t="s">
        <v>241</v>
      </c>
      <c r="E129" s="217"/>
      <c r="F129" s="217"/>
      <c r="G129" s="217"/>
      <c r="H129" s="217"/>
    </row>
    <row r="130" spans="2:8">
      <c r="B130" s="241" t="s">
        <v>312</v>
      </c>
      <c r="C130" s="242"/>
      <c r="D130" s="243" t="s">
        <v>242</v>
      </c>
      <c r="E130" s="217"/>
      <c r="F130" s="217"/>
      <c r="G130" s="217"/>
      <c r="H130" s="217"/>
    </row>
    <row r="131" spans="2:8" ht="17" thickBot="1">
      <c r="B131" s="266" t="s">
        <v>313</v>
      </c>
      <c r="C131" s="267"/>
      <c r="D131" s="243" t="s">
        <v>243</v>
      </c>
      <c r="E131" s="217"/>
      <c r="F131" s="217"/>
      <c r="G131" s="217"/>
      <c r="H131" s="217"/>
    </row>
    <row r="132" spans="2:8" ht="26.25" customHeight="1"/>
    <row r="133" spans="2:8" ht="21">
      <c r="B133" s="2" t="s">
        <v>244</v>
      </c>
    </row>
    <row r="134" spans="2:8" ht="17" thickBot="1"/>
    <row r="135" spans="2:8">
      <c r="B135" s="209" t="s">
        <v>60</v>
      </c>
      <c r="C135" s="211" t="s">
        <v>61</v>
      </c>
      <c r="D135" s="213" t="s">
        <v>62</v>
      </c>
      <c r="E135" s="214"/>
      <c r="F135" s="214"/>
      <c r="G135" s="214" t="s">
        <v>63</v>
      </c>
      <c r="H135" s="215"/>
    </row>
    <row r="136" spans="2:8" ht="17">
      <c r="B136" s="210"/>
      <c r="C136" s="212"/>
      <c r="D136" s="41" t="s">
        <v>64</v>
      </c>
      <c r="E136" s="41" t="s">
        <v>65</v>
      </c>
      <c r="F136" s="41" t="s">
        <v>66</v>
      </c>
      <c r="G136" s="41" t="s">
        <v>67</v>
      </c>
      <c r="H136" s="48" t="s">
        <v>68</v>
      </c>
    </row>
    <row r="137" spans="2:8" ht="71.25" customHeight="1">
      <c r="B137" s="253" t="s">
        <v>69</v>
      </c>
      <c r="C137" s="203" t="s">
        <v>307</v>
      </c>
      <c r="D137" s="10" t="s">
        <v>245</v>
      </c>
      <c r="E137" s="53" t="s">
        <v>89</v>
      </c>
      <c r="F137" s="9" t="s">
        <v>246</v>
      </c>
      <c r="G137" s="17" t="s">
        <v>90</v>
      </c>
      <c r="H137" s="228" t="s">
        <v>247</v>
      </c>
    </row>
    <row r="138" spans="2:8" ht="71.25" customHeight="1">
      <c r="B138" s="253"/>
      <c r="C138" s="203"/>
      <c r="D138" s="10" t="s">
        <v>248</v>
      </c>
      <c r="E138" s="53" t="s">
        <v>85</v>
      </c>
      <c r="F138" s="9" t="s">
        <v>249</v>
      </c>
      <c r="G138" s="17" t="s">
        <v>250</v>
      </c>
      <c r="H138" s="228"/>
    </row>
    <row r="139" spans="2:8" ht="71.25" customHeight="1">
      <c r="B139" s="253"/>
      <c r="C139" s="203"/>
      <c r="D139" s="10" t="s">
        <v>251</v>
      </c>
      <c r="E139" s="53" t="s">
        <v>85</v>
      </c>
      <c r="F139" s="9" t="s">
        <v>249</v>
      </c>
      <c r="G139" s="17" t="s">
        <v>250</v>
      </c>
      <c r="H139" s="228"/>
    </row>
    <row r="140" spans="2:8" ht="46.5" customHeight="1">
      <c r="B140" s="253"/>
      <c r="C140" s="203"/>
      <c r="D140" s="10" t="s">
        <v>252</v>
      </c>
      <c r="E140" s="53" t="s">
        <v>85</v>
      </c>
      <c r="F140" s="9" t="s">
        <v>249</v>
      </c>
      <c r="G140" s="17" t="s">
        <v>250</v>
      </c>
      <c r="H140" s="228"/>
    </row>
    <row r="141" spans="2:8" ht="51">
      <c r="B141" s="253"/>
      <c r="C141" s="203"/>
      <c r="D141" s="10" t="s">
        <v>253</v>
      </c>
      <c r="E141" s="53" t="s">
        <v>85</v>
      </c>
      <c r="F141" s="9" t="s">
        <v>254</v>
      </c>
      <c r="G141" s="17" t="s">
        <v>255</v>
      </c>
      <c r="H141" s="228" t="s">
        <v>256</v>
      </c>
    </row>
    <row r="142" spans="2:8" ht="48" customHeight="1">
      <c r="B142" s="253"/>
      <c r="C142" s="203"/>
      <c r="D142" s="10" t="s">
        <v>257</v>
      </c>
      <c r="E142" s="53" t="s">
        <v>258</v>
      </c>
      <c r="F142" s="9" t="s">
        <v>259</v>
      </c>
      <c r="G142" s="17" t="s">
        <v>260</v>
      </c>
      <c r="H142" s="228"/>
    </row>
    <row r="143" spans="2:8" ht="48" customHeight="1">
      <c r="B143" s="253"/>
      <c r="C143" s="203"/>
      <c r="D143" s="10" t="s">
        <v>261</v>
      </c>
      <c r="E143" s="53" t="s">
        <v>85</v>
      </c>
      <c r="F143" s="9" t="s">
        <v>262</v>
      </c>
      <c r="G143" s="17" t="s">
        <v>263</v>
      </c>
      <c r="H143" s="228"/>
    </row>
    <row r="144" spans="2:8" ht="45" customHeight="1">
      <c r="B144" s="253" t="s">
        <v>264</v>
      </c>
      <c r="C144" s="203"/>
      <c r="D144" s="10" t="s">
        <v>265</v>
      </c>
      <c r="E144" s="53" t="s">
        <v>266</v>
      </c>
      <c r="F144" s="9" t="s">
        <v>175</v>
      </c>
      <c r="G144" s="17" t="s">
        <v>267</v>
      </c>
      <c r="H144" s="228"/>
    </row>
    <row r="145" spans="2:8" ht="45" customHeight="1">
      <c r="B145" s="253"/>
      <c r="C145" s="203"/>
      <c r="D145" s="10" t="s">
        <v>268</v>
      </c>
      <c r="E145" s="53" t="s">
        <v>269</v>
      </c>
      <c r="F145" s="9" t="s">
        <v>270</v>
      </c>
      <c r="G145" s="17" t="s">
        <v>271</v>
      </c>
      <c r="H145" s="228"/>
    </row>
    <row r="146" spans="2:8" ht="45" customHeight="1">
      <c r="B146" s="253"/>
      <c r="C146" s="203"/>
      <c r="D146" s="10" t="s">
        <v>272</v>
      </c>
      <c r="E146" s="53" t="s">
        <v>273</v>
      </c>
      <c r="F146" s="9" t="s">
        <v>274</v>
      </c>
      <c r="G146" s="17" t="s">
        <v>275</v>
      </c>
      <c r="H146" s="228"/>
    </row>
    <row r="147" spans="2:8" ht="59.25" customHeight="1">
      <c r="B147" s="253"/>
      <c r="C147" s="203"/>
      <c r="D147" s="10" t="s">
        <v>276</v>
      </c>
      <c r="E147" s="53" t="s">
        <v>277</v>
      </c>
      <c r="F147" s="9" t="s">
        <v>278</v>
      </c>
      <c r="G147" s="17" t="s">
        <v>279</v>
      </c>
      <c r="H147" s="228"/>
    </row>
    <row r="148" spans="2:8" ht="86.5" customHeight="1">
      <c r="B148" s="253"/>
      <c r="C148" s="203"/>
      <c r="D148" s="10" t="s">
        <v>280</v>
      </c>
      <c r="E148" s="53" t="s">
        <v>174</v>
      </c>
      <c r="F148" s="9" t="s">
        <v>270</v>
      </c>
      <c r="G148" s="17" t="s">
        <v>281</v>
      </c>
      <c r="H148" s="56" t="s">
        <v>282</v>
      </c>
    </row>
    <row r="149" spans="2:8" ht="79.5" customHeight="1" thickBot="1">
      <c r="B149" s="78" t="s">
        <v>136</v>
      </c>
      <c r="C149" s="59" t="s">
        <v>305</v>
      </c>
      <c r="D149" s="77" t="s">
        <v>283</v>
      </c>
      <c r="E149" s="57" t="s">
        <v>132</v>
      </c>
      <c r="F149" s="15" t="s">
        <v>284</v>
      </c>
      <c r="G149" s="24" t="s">
        <v>138</v>
      </c>
      <c r="H149" s="62" t="s">
        <v>139</v>
      </c>
    </row>
    <row r="152" spans="2:8" ht="19">
      <c r="B152" s="30" t="s">
        <v>285</v>
      </c>
    </row>
  </sheetData>
  <mergeCells count="107">
    <mergeCell ref="B137:B143"/>
    <mergeCell ref="C137:C148"/>
    <mergeCell ref="H137:H140"/>
    <mergeCell ref="H141:H147"/>
    <mergeCell ref="B144:B148"/>
    <mergeCell ref="C15:F17"/>
    <mergeCell ref="C18:F18"/>
    <mergeCell ref="C19:F19"/>
    <mergeCell ref="C20:F20"/>
    <mergeCell ref="C21:F21"/>
    <mergeCell ref="B131:C131"/>
    <mergeCell ref="D131:H131"/>
    <mergeCell ref="B135:B136"/>
    <mergeCell ref="C135:C136"/>
    <mergeCell ref="D135:F135"/>
    <mergeCell ref="G135:H135"/>
    <mergeCell ref="B126:H126"/>
    <mergeCell ref="B128:C128"/>
    <mergeCell ref="D128:H128"/>
    <mergeCell ref="B129:C129"/>
    <mergeCell ref="D129:H129"/>
    <mergeCell ref="B130:C130"/>
    <mergeCell ref="D130:H130"/>
    <mergeCell ref="B116:B120"/>
    <mergeCell ref="C116:C120"/>
    <mergeCell ref="H116:H120"/>
    <mergeCell ref="G118:G120"/>
    <mergeCell ref="B121:B124"/>
    <mergeCell ref="H121:H124"/>
    <mergeCell ref="C123:C124"/>
    <mergeCell ref="B106:B107"/>
    <mergeCell ref="C106:C107"/>
    <mergeCell ref="D106:F106"/>
    <mergeCell ref="G106:H106"/>
    <mergeCell ref="B108:B115"/>
    <mergeCell ref="C108:C115"/>
    <mergeCell ref="G108:G109"/>
    <mergeCell ref="H108:H109"/>
    <mergeCell ref="G110:G111"/>
    <mergeCell ref="G112:G115"/>
    <mergeCell ref="B99:C99"/>
    <mergeCell ref="D99:H99"/>
    <mergeCell ref="B100:C100"/>
    <mergeCell ref="D100:H100"/>
    <mergeCell ref="B101:C101"/>
    <mergeCell ref="D101:H101"/>
    <mergeCell ref="B83:B87"/>
    <mergeCell ref="C83:C87"/>
    <mergeCell ref="H83:H87"/>
    <mergeCell ref="B89:B94"/>
    <mergeCell ref="C89:C90"/>
    <mergeCell ref="G89:G90"/>
    <mergeCell ref="H89:H90"/>
    <mergeCell ref="C91:C92"/>
    <mergeCell ref="G91:G92"/>
    <mergeCell ref="H91:H92"/>
    <mergeCell ref="B76:C76"/>
    <mergeCell ref="D76:H76"/>
    <mergeCell ref="B77:C77"/>
    <mergeCell ref="D77:H77"/>
    <mergeCell ref="B81:B82"/>
    <mergeCell ref="C81:C82"/>
    <mergeCell ref="D81:F81"/>
    <mergeCell ref="G81:H81"/>
    <mergeCell ref="B69:B72"/>
    <mergeCell ref="C69:C70"/>
    <mergeCell ref="C71:C72"/>
    <mergeCell ref="B73:H73"/>
    <mergeCell ref="B75:C75"/>
    <mergeCell ref="D75:H75"/>
    <mergeCell ref="B52:B59"/>
    <mergeCell ref="C52:C59"/>
    <mergeCell ref="H52:H59"/>
    <mergeCell ref="B60:B68"/>
    <mergeCell ref="C60:C63"/>
    <mergeCell ref="C64:C66"/>
    <mergeCell ref="B46:C46"/>
    <mergeCell ref="D46:H46"/>
    <mergeCell ref="B50:B51"/>
    <mergeCell ref="C50:C51"/>
    <mergeCell ref="D50:F50"/>
    <mergeCell ref="G50:H50"/>
    <mergeCell ref="B34:H35"/>
    <mergeCell ref="B39:H40"/>
    <mergeCell ref="B44:C44"/>
    <mergeCell ref="D44:H44"/>
    <mergeCell ref="B45:C45"/>
    <mergeCell ref="D45:H45"/>
    <mergeCell ref="C24:F24"/>
    <mergeCell ref="C25:F25"/>
    <mergeCell ref="C26:F26"/>
    <mergeCell ref="C27:F27"/>
    <mergeCell ref="C28:F28"/>
    <mergeCell ref="C29:F29"/>
    <mergeCell ref="C22:F22"/>
    <mergeCell ref="C23:F23"/>
    <mergeCell ref="B11:C11"/>
    <mergeCell ref="D11:H11"/>
    <mergeCell ref="B15:B17"/>
    <mergeCell ref="H16:H17"/>
    <mergeCell ref="B3:H3"/>
    <mergeCell ref="B4:H4"/>
    <mergeCell ref="B9:C9"/>
    <mergeCell ref="D9:H9"/>
    <mergeCell ref="B10:C10"/>
    <mergeCell ref="D10:H10"/>
    <mergeCell ref="C5:G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70C40-20AA-ED4B-B255-78D42E01E01B}">
  <sheetPr>
    <tabColor rgb="FF002060"/>
  </sheetPr>
  <dimension ref="B2:M90"/>
  <sheetViews>
    <sheetView showGridLines="0" topLeftCell="C24" workbookViewId="0">
      <selection activeCell="L76" sqref="L76"/>
    </sheetView>
  </sheetViews>
  <sheetFormatPr baseColWidth="10" defaultColWidth="11.5" defaultRowHeight="16"/>
  <cols>
    <col min="1" max="1" width="11.5" style="1"/>
    <col min="2" max="2" width="14.83203125" style="1" customWidth="1"/>
    <col min="3" max="3" width="20.6640625" style="1" customWidth="1"/>
    <col min="4" max="4" width="55.33203125" style="1" customWidth="1"/>
    <col min="5" max="5" width="15.6640625" style="1" customWidth="1"/>
    <col min="6" max="6" width="39.1640625" style="1" customWidth="1"/>
    <col min="7" max="7" width="16.5" style="1" customWidth="1"/>
    <col min="8" max="8" width="16.83203125" style="1" customWidth="1"/>
    <col min="9" max="10" width="28.33203125" style="80" customWidth="1"/>
    <col min="11" max="12" width="26" style="80" customWidth="1"/>
    <col min="13" max="13" width="47.6640625" style="80" customWidth="1"/>
    <col min="14" max="16384" width="11.5" style="1"/>
  </cols>
  <sheetData>
    <row r="2" spans="2:13" ht="27" customHeight="1">
      <c r="B2" s="289" t="s">
        <v>314</v>
      </c>
      <c r="C2" s="289"/>
      <c r="D2" s="289"/>
    </row>
    <row r="3" spans="2:13" ht="28" customHeight="1">
      <c r="B3" s="290" t="s">
        <v>315</v>
      </c>
      <c r="C3" s="290"/>
      <c r="D3" s="290"/>
    </row>
    <row r="5" spans="2:13" ht="15.75" customHeight="1">
      <c r="B5" s="291" t="s">
        <v>316</v>
      </c>
      <c r="C5" s="291"/>
      <c r="D5" s="291"/>
    </row>
    <row r="6" spans="2:13" ht="17" thickBot="1"/>
    <row r="7" spans="2:13" ht="37" customHeight="1">
      <c r="C7" s="292" t="s">
        <v>317</v>
      </c>
      <c r="D7" s="294" t="s">
        <v>318</v>
      </c>
      <c r="E7" s="296" t="s">
        <v>319</v>
      </c>
      <c r="F7" s="297"/>
      <c r="G7" s="297"/>
      <c r="H7" s="298"/>
      <c r="I7" s="278" t="s">
        <v>373</v>
      </c>
      <c r="J7" s="81" t="s">
        <v>374</v>
      </c>
      <c r="K7" s="280" t="s">
        <v>320</v>
      </c>
      <c r="L7" s="299" t="s">
        <v>375</v>
      </c>
      <c r="M7" s="278" t="s">
        <v>321</v>
      </c>
    </row>
    <row r="8" spans="2:13" s="82" customFormat="1" ht="17" thickBot="1">
      <c r="C8" s="293"/>
      <c r="D8" s="295"/>
      <c r="E8" s="83" t="s">
        <v>322</v>
      </c>
      <c r="F8" s="84" t="s">
        <v>323</v>
      </c>
      <c r="G8" s="84" t="s">
        <v>141</v>
      </c>
      <c r="H8" s="85" t="s">
        <v>324</v>
      </c>
      <c r="I8" s="279"/>
      <c r="J8" s="86"/>
      <c r="K8" s="281"/>
      <c r="L8" s="300"/>
      <c r="M8" s="279"/>
    </row>
    <row r="9" spans="2:13" s="82" customFormat="1" ht="30">
      <c r="B9" s="282" t="s">
        <v>325</v>
      </c>
      <c r="C9" s="87" t="s">
        <v>326</v>
      </c>
      <c r="D9" s="301" t="s">
        <v>70</v>
      </c>
      <c r="E9" s="89"/>
      <c r="F9" s="89"/>
      <c r="G9" s="89"/>
      <c r="H9" s="302">
        <v>80</v>
      </c>
      <c r="I9" s="136">
        <v>7500</v>
      </c>
      <c r="J9" s="303">
        <v>5</v>
      </c>
      <c r="K9" s="304">
        <f>H9*I9*J9</f>
        <v>3000000</v>
      </c>
      <c r="L9" s="136">
        <f>K9/5</f>
        <v>600000</v>
      </c>
      <c r="M9" s="305" t="s">
        <v>327</v>
      </c>
    </row>
    <row r="10" spans="2:13" s="82" customFormat="1" ht="60">
      <c r="B10" s="283"/>
      <c r="C10" s="93" t="s">
        <v>326</v>
      </c>
      <c r="D10" s="88" t="s">
        <v>75</v>
      </c>
      <c r="E10" s="94" t="s">
        <v>328</v>
      </c>
      <c r="F10" s="95" t="s">
        <v>328</v>
      </c>
      <c r="G10" s="95" t="s">
        <v>328</v>
      </c>
      <c r="H10" s="96">
        <v>1</v>
      </c>
      <c r="I10" s="97">
        <v>150000</v>
      </c>
      <c r="J10" s="306">
        <v>1</v>
      </c>
      <c r="K10" s="92">
        <f>H10*I10*J10</f>
        <v>150000</v>
      </c>
      <c r="L10" s="91">
        <f t="shared" ref="L10:L28" si="0">K10/5</f>
        <v>30000</v>
      </c>
      <c r="M10" s="307" t="s">
        <v>327</v>
      </c>
    </row>
    <row r="11" spans="2:13" s="82" customFormat="1" ht="45">
      <c r="B11" s="283"/>
      <c r="C11" s="93" t="s">
        <v>326</v>
      </c>
      <c r="D11" s="88" t="s">
        <v>77</v>
      </c>
      <c r="E11" s="98"/>
      <c r="F11" s="98"/>
      <c r="G11" s="99">
        <v>600000</v>
      </c>
      <c r="H11" s="98"/>
      <c r="I11" s="91">
        <f>1000000/G11</f>
        <v>1.6666666666666667</v>
      </c>
      <c r="J11" s="306">
        <v>5</v>
      </c>
      <c r="K11" s="92">
        <f>G11*I11*J11</f>
        <v>5000000</v>
      </c>
      <c r="L11" s="91">
        <f t="shared" si="0"/>
        <v>1000000</v>
      </c>
      <c r="M11" s="307" t="s">
        <v>327</v>
      </c>
    </row>
    <row r="12" spans="2:13" s="82" customFormat="1" ht="45">
      <c r="B12" s="283"/>
      <c r="C12" s="93" t="s">
        <v>326</v>
      </c>
      <c r="D12" s="88" t="s">
        <v>79</v>
      </c>
      <c r="E12" s="100"/>
      <c r="F12" s="100"/>
      <c r="G12" s="99">
        <v>150000</v>
      </c>
      <c r="H12" s="100"/>
      <c r="I12" s="91">
        <f>400000/G12</f>
        <v>2.6666666666666665</v>
      </c>
      <c r="J12" s="306">
        <v>5</v>
      </c>
      <c r="K12" s="92">
        <f>I12*G12*J12</f>
        <v>2000000</v>
      </c>
      <c r="L12" s="91">
        <f t="shared" si="0"/>
        <v>400000</v>
      </c>
      <c r="M12" s="307" t="s">
        <v>327</v>
      </c>
    </row>
    <row r="13" spans="2:13" ht="44.25" customHeight="1">
      <c r="B13" s="283"/>
      <c r="C13" s="93" t="s">
        <v>326</v>
      </c>
      <c r="D13" s="88" t="s">
        <v>81</v>
      </c>
      <c r="E13" s="101">
        <v>350000</v>
      </c>
      <c r="F13" s="95">
        <v>1000000</v>
      </c>
      <c r="G13" s="99">
        <v>260000</v>
      </c>
      <c r="H13" s="90">
        <v>80</v>
      </c>
      <c r="I13" s="91">
        <f>40000*1.2</f>
        <v>48000</v>
      </c>
      <c r="J13" s="306">
        <v>4.5</v>
      </c>
      <c r="K13" s="92">
        <f>H13*I13*J13</f>
        <v>17280000</v>
      </c>
      <c r="L13" s="91">
        <f t="shared" si="0"/>
        <v>3456000</v>
      </c>
      <c r="M13" s="307" t="s">
        <v>327</v>
      </c>
    </row>
    <row r="14" spans="2:13" ht="30">
      <c r="B14" s="283"/>
      <c r="C14" s="93" t="s">
        <v>326</v>
      </c>
      <c r="D14" s="88" t="s">
        <v>84</v>
      </c>
      <c r="E14" s="94" t="s">
        <v>328</v>
      </c>
      <c r="F14" s="95" t="s">
        <v>328</v>
      </c>
      <c r="G14" s="99">
        <v>350000</v>
      </c>
      <c r="H14" s="94" t="s">
        <v>328</v>
      </c>
      <c r="I14" s="91">
        <f>3.3*1.2</f>
        <v>3.9599999999999995</v>
      </c>
      <c r="J14" s="306">
        <v>4.5</v>
      </c>
      <c r="K14" s="92">
        <f>I14*G14*J14</f>
        <v>6236999.9999999991</v>
      </c>
      <c r="L14" s="91">
        <f t="shared" si="0"/>
        <v>1247399.9999999998</v>
      </c>
      <c r="M14" s="307" t="s">
        <v>329</v>
      </c>
    </row>
    <row r="15" spans="2:13" ht="45">
      <c r="B15" s="283"/>
      <c r="C15" s="93" t="s">
        <v>326</v>
      </c>
      <c r="D15" s="88" t="s">
        <v>88</v>
      </c>
      <c r="E15" s="94" t="s">
        <v>328</v>
      </c>
      <c r="F15" s="95" t="s">
        <v>328</v>
      </c>
      <c r="G15" s="99">
        <v>350000</v>
      </c>
      <c r="H15" s="94" t="s">
        <v>328</v>
      </c>
      <c r="I15" s="91">
        <f>2*1.2</f>
        <v>2.4</v>
      </c>
      <c r="J15" s="306">
        <v>4.5</v>
      </c>
      <c r="K15" s="92">
        <f>I15*G15*J15</f>
        <v>3780000</v>
      </c>
      <c r="L15" s="91">
        <f t="shared" si="0"/>
        <v>756000</v>
      </c>
      <c r="M15" s="307" t="s">
        <v>330</v>
      </c>
    </row>
    <row r="16" spans="2:13" ht="30.75" customHeight="1">
      <c r="B16" s="283"/>
      <c r="C16" s="93" t="s">
        <v>326</v>
      </c>
      <c r="D16" s="88" t="s">
        <v>331</v>
      </c>
      <c r="E16" s="94" t="s">
        <v>328</v>
      </c>
      <c r="F16" s="94" t="s">
        <v>328</v>
      </c>
      <c r="G16" s="99">
        <v>700000</v>
      </c>
      <c r="H16" s="94" t="s">
        <v>328</v>
      </c>
      <c r="I16" s="91">
        <f>2.1*1.2</f>
        <v>2.52</v>
      </c>
      <c r="J16" s="306">
        <v>4</v>
      </c>
      <c r="K16" s="92">
        <f>I16*G16*J16</f>
        <v>7056000</v>
      </c>
      <c r="L16" s="91">
        <f t="shared" si="0"/>
        <v>1411200</v>
      </c>
      <c r="M16" s="307" t="s">
        <v>330</v>
      </c>
    </row>
    <row r="17" spans="2:13" ht="30">
      <c r="B17" s="283"/>
      <c r="C17" s="93" t="s">
        <v>332</v>
      </c>
      <c r="D17" s="88" t="s">
        <v>94</v>
      </c>
      <c r="E17" s="94" t="s">
        <v>328</v>
      </c>
      <c r="F17" s="94" t="s">
        <v>328</v>
      </c>
      <c r="G17" s="99">
        <v>150000</v>
      </c>
      <c r="H17" s="102">
        <v>80</v>
      </c>
      <c r="I17" s="91">
        <f>15*1.2</f>
        <v>18</v>
      </c>
      <c r="J17" s="306">
        <v>5</v>
      </c>
      <c r="K17" s="92">
        <f>I17*G17*J17</f>
        <v>13500000</v>
      </c>
      <c r="L17" s="91">
        <f t="shared" si="0"/>
        <v>2700000</v>
      </c>
      <c r="M17" s="307" t="s">
        <v>327</v>
      </c>
    </row>
    <row r="18" spans="2:13" ht="17">
      <c r="B18" s="283"/>
      <c r="C18" s="93" t="s">
        <v>332</v>
      </c>
      <c r="D18" s="88" t="s">
        <v>99</v>
      </c>
      <c r="E18" s="94" t="s">
        <v>328</v>
      </c>
      <c r="F18" s="94" t="s">
        <v>328</v>
      </c>
      <c r="G18" s="99">
        <v>150000</v>
      </c>
      <c r="H18" s="102">
        <v>80</v>
      </c>
      <c r="I18" s="91">
        <f>15*1.2</f>
        <v>18</v>
      </c>
      <c r="J18" s="306">
        <v>5</v>
      </c>
      <c r="K18" s="92">
        <f>I18*G18*J18</f>
        <v>13500000</v>
      </c>
      <c r="L18" s="91">
        <f t="shared" si="0"/>
        <v>2700000</v>
      </c>
      <c r="M18" s="307" t="s">
        <v>327</v>
      </c>
    </row>
    <row r="19" spans="2:13" ht="17">
      <c r="B19" s="283"/>
      <c r="C19" s="93" t="s">
        <v>332</v>
      </c>
      <c r="D19" s="88" t="s">
        <v>110</v>
      </c>
      <c r="E19" s="94" t="s">
        <v>328</v>
      </c>
      <c r="F19" s="94" t="s">
        <v>328</v>
      </c>
      <c r="G19" s="94" t="s">
        <v>328</v>
      </c>
      <c r="H19" s="102">
        <v>80</v>
      </c>
      <c r="I19" s="91">
        <f>(500000/80)*1.2</f>
        <v>7500</v>
      </c>
      <c r="J19" s="306">
        <v>5</v>
      </c>
      <c r="K19" s="92">
        <f>I19*J19*H19</f>
        <v>3000000</v>
      </c>
      <c r="L19" s="91">
        <f t="shared" si="0"/>
        <v>600000</v>
      </c>
      <c r="M19" s="307" t="s">
        <v>327</v>
      </c>
    </row>
    <row r="20" spans="2:13" ht="17">
      <c r="B20" s="283"/>
      <c r="C20" s="93" t="s">
        <v>332</v>
      </c>
      <c r="D20" s="88" t="s">
        <v>115</v>
      </c>
      <c r="E20" s="94" t="s">
        <v>328</v>
      </c>
      <c r="F20" s="94" t="s">
        <v>328</v>
      </c>
      <c r="G20" s="94" t="s">
        <v>328</v>
      </c>
      <c r="H20" s="102">
        <v>80</v>
      </c>
      <c r="I20" s="91">
        <f>600000/80*1.2</f>
        <v>9000</v>
      </c>
      <c r="J20" s="306">
        <v>5</v>
      </c>
      <c r="K20" s="92">
        <f>I20*J20*H20</f>
        <v>3600000</v>
      </c>
      <c r="L20" s="91">
        <f t="shared" si="0"/>
        <v>720000</v>
      </c>
      <c r="M20" s="307" t="s">
        <v>327</v>
      </c>
    </row>
    <row r="21" spans="2:13" ht="17">
      <c r="B21" s="283"/>
      <c r="C21" s="93" t="s">
        <v>332</v>
      </c>
      <c r="D21" s="88" t="s">
        <v>333</v>
      </c>
      <c r="E21" s="94" t="s">
        <v>328</v>
      </c>
      <c r="F21" s="94" t="s">
        <v>328</v>
      </c>
      <c r="G21" s="94" t="s">
        <v>328</v>
      </c>
      <c r="H21" s="102">
        <v>80</v>
      </c>
      <c r="I21" s="91">
        <f>100000/80*1.2</f>
        <v>1500</v>
      </c>
      <c r="J21" s="306">
        <v>5</v>
      </c>
      <c r="K21" s="92">
        <f>I21*J21*H21</f>
        <v>600000</v>
      </c>
      <c r="L21" s="91">
        <f t="shared" si="0"/>
        <v>120000</v>
      </c>
      <c r="M21" s="307" t="s">
        <v>327</v>
      </c>
    </row>
    <row r="22" spans="2:13" ht="60">
      <c r="B22" s="283"/>
      <c r="C22" s="93" t="s">
        <v>332</v>
      </c>
      <c r="D22" s="88" t="s">
        <v>334</v>
      </c>
      <c r="E22" s="94" t="s">
        <v>328</v>
      </c>
      <c r="F22" s="94" t="s">
        <v>328</v>
      </c>
      <c r="G22" s="94" t="s">
        <v>328</v>
      </c>
      <c r="H22" s="102">
        <v>240</v>
      </c>
      <c r="I22" s="91">
        <f>21024000/240/5</f>
        <v>17520</v>
      </c>
      <c r="J22" s="306">
        <v>5</v>
      </c>
      <c r="K22" s="92">
        <f>I22*H22*J22</f>
        <v>21024000</v>
      </c>
      <c r="L22" s="91">
        <f t="shared" si="0"/>
        <v>4204800</v>
      </c>
      <c r="M22" s="308" t="s">
        <v>335</v>
      </c>
    </row>
    <row r="23" spans="2:13" ht="45">
      <c r="B23" s="283"/>
      <c r="C23" s="93" t="s">
        <v>332</v>
      </c>
      <c r="D23" s="88" t="s">
        <v>131</v>
      </c>
      <c r="E23" s="103" t="s">
        <v>328</v>
      </c>
      <c r="F23" s="94" t="s">
        <v>328</v>
      </c>
      <c r="G23" s="99">
        <v>97000</v>
      </c>
      <c r="H23" s="104" t="s">
        <v>328</v>
      </c>
      <c r="I23" s="91">
        <f>40*1.2</f>
        <v>48</v>
      </c>
      <c r="J23" s="306">
        <v>1</v>
      </c>
      <c r="K23" s="92">
        <f>G23*I23*J23</f>
        <v>4656000</v>
      </c>
      <c r="L23" s="91">
        <f t="shared" si="0"/>
        <v>931200</v>
      </c>
      <c r="M23" s="307"/>
    </row>
    <row r="24" spans="2:13" ht="43.5" customHeight="1">
      <c r="B24" s="283"/>
      <c r="C24" s="93" t="s">
        <v>332</v>
      </c>
      <c r="D24" s="88" t="s">
        <v>125</v>
      </c>
      <c r="E24" s="94" t="s">
        <v>328</v>
      </c>
      <c r="F24" s="94" t="s">
        <v>328</v>
      </c>
      <c r="G24" s="99">
        <v>700000</v>
      </c>
      <c r="H24" s="102">
        <v>150</v>
      </c>
      <c r="I24" s="91">
        <f>0.25*1.2</f>
        <v>0.3</v>
      </c>
      <c r="J24" s="306">
        <v>5</v>
      </c>
      <c r="K24" s="92">
        <f>J24*G24*I24</f>
        <v>1050000</v>
      </c>
      <c r="L24" s="91">
        <f t="shared" si="0"/>
        <v>210000</v>
      </c>
      <c r="M24" s="307" t="s">
        <v>327</v>
      </c>
    </row>
    <row r="25" spans="2:13" ht="43.5" customHeight="1">
      <c r="B25" s="283"/>
      <c r="C25" s="93" t="s">
        <v>230</v>
      </c>
      <c r="D25" s="88" t="s">
        <v>137</v>
      </c>
      <c r="E25" s="94" t="s">
        <v>328</v>
      </c>
      <c r="F25" s="94" t="s">
        <v>328</v>
      </c>
      <c r="G25" s="99">
        <v>97000</v>
      </c>
      <c r="H25" s="94" t="s">
        <v>328</v>
      </c>
      <c r="I25" s="91">
        <f>72*1.2</f>
        <v>86.399999999999991</v>
      </c>
      <c r="J25" s="306">
        <v>1</v>
      </c>
      <c r="K25" s="92">
        <f>G25*I25*J25</f>
        <v>8380799.9999999991</v>
      </c>
      <c r="L25" s="91">
        <f t="shared" si="0"/>
        <v>1676159.9999999998</v>
      </c>
      <c r="M25" s="307" t="s">
        <v>327</v>
      </c>
    </row>
    <row r="26" spans="2:13" ht="42" customHeight="1">
      <c r="B26" s="283"/>
      <c r="C26" s="93" t="s">
        <v>230</v>
      </c>
      <c r="D26" s="88" t="s">
        <v>336</v>
      </c>
      <c r="E26" s="94" t="s">
        <v>328</v>
      </c>
      <c r="F26" s="94" t="s">
        <v>328</v>
      </c>
      <c r="G26" s="99">
        <v>39000</v>
      </c>
      <c r="H26" s="94" t="s">
        <v>328</v>
      </c>
      <c r="I26" s="91">
        <f>35*1.2</f>
        <v>42</v>
      </c>
      <c r="J26" s="306">
        <v>1</v>
      </c>
      <c r="K26" s="92">
        <f>G26*I26*J26</f>
        <v>1638000</v>
      </c>
      <c r="L26" s="91">
        <f t="shared" si="0"/>
        <v>327600</v>
      </c>
      <c r="M26" s="307" t="s">
        <v>337</v>
      </c>
    </row>
    <row r="27" spans="2:13" ht="33.75" customHeight="1">
      <c r="B27" s="283"/>
      <c r="C27" s="105" t="s">
        <v>230</v>
      </c>
      <c r="D27" s="88" t="s">
        <v>338</v>
      </c>
      <c r="E27" s="94" t="s">
        <v>328</v>
      </c>
      <c r="F27" s="94" t="s">
        <v>328</v>
      </c>
      <c r="G27" s="106" t="s">
        <v>328</v>
      </c>
      <c r="H27" s="94" t="s">
        <v>328</v>
      </c>
      <c r="I27" s="91">
        <f>200000*1.2</f>
        <v>240000</v>
      </c>
      <c r="J27" s="306">
        <v>1</v>
      </c>
      <c r="K27" s="92">
        <f>I27*J27</f>
        <v>240000</v>
      </c>
      <c r="L27" s="91">
        <f t="shared" si="0"/>
        <v>48000</v>
      </c>
      <c r="M27" s="307" t="s">
        <v>339</v>
      </c>
    </row>
    <row r="28" spans="2:13" ht="39" customHeight="1">
      <c r="B28" s="283"/>
      <c r="C28" s="105" t="s">
        <v>230</v>
      </c>
      <c r="D28" s="88" t="s">
        <v>340</v>
      </c>
      <c r="E28" s="107">
        <v>55000</v>
      </c>
      <c r="F28" s="108" t="s">
        <v>341</v>
      </c>
      <c r="G28" s="99">
        <v>32600</v>
      </c>
      <c r="H28" s="94"/>
      <c r="I28" s="109">
        <v>2445000</v>
      </c>
      <c r="J28" s="309">
        <v>4</v>
      </c>
      <c r="K28" s="92">
        <f>I28*J28</f>
        <v>9780000</v>
      </c>
      <c r="L28" s="91">
        <f t="shared" si="0"/>
        <v>1956000</v>
      </c>
      <c r="M28" s="307"/>
    </row>
    <row r="29" spans="2:13" ht="17" thickBot="1">
      <c r="B29" s="284"/>
      <c r="C29" s="110" t="s">
        <v>342</v>
      </c>
      <c r="D29" s="110"/>
      <c r="E29" s="110"/>
      <c r="F29" s="110"/>
      <c r="G29" s="110"/>
      <c r="H29" s="110"/>
      <c r="I29" s="310"/>
      <c r="J29" s="310"/>
      <c r="K29" s="111">
        <f>SUM(K9:K28)</f>
        <v>125471800</v>
      </c>
      <c r="L29" s="311">
        <f>SUM(L9:L28)</f>
        <v>25094360</v>
      </c>
      <c r="M29" s="312">
        <f>K29/K76</f>
        <v>0.41507985615623372</v>
      </c>
    </row>
    <row r="30" spans="2:13" ht="37.5" customHeight="1">
      <c r="B30" s="271" t="s">
        <v>343</v>
      </c>
      <c r="C30" s="112" t="s">
        <v>326</v>
      </c>
      <c r="D30" s="113" t="s">
        <v>156</v>
      </c>
      <c r="E30" s="114" t="s">
        <v>328</v>
      </c>
      <c r="F30" s="114" t="s">
        <v>328</v>
      </c>
      <c r="G30" s="114" t="s">
        <v>328</v>
      </c>
      <c r="H30" s="114" t="s">
        <v>328</v>
      </c>
      <c r="I30" s="115">
        <v>100000</v>
      </c>
      <c r="J30" s="313">
        <v>1</v>
      </c>
      <c r="K30" s="116">
        <f>I30*J30</f>
        <v>100000</v>
      </c>
      <c r="L30" s="115">
        <f>K30/5</f>
        <v>20000</v>
      </c>
      <c r="M30" s="314"/>
    </row>
    <row r="31" spans="2:13" ht="30">
      <c r="B31" s="272"/>
      <c r="C31" s="117" t="s">
        <v>326</v>
      </c>
      <c r="D31" s="118" t="s">
        <v>158</v>
      </c>
      <c r="E31" s="119" t="s">
        <v>328</v>
      </c>
      <c r="F31" s="120" t="s">
        <v>328</v>
      </c>
      <c r="G31" s="121" t="s">
        <v>328</v>
      </c>
      <c r="H31" s="121">
        <v>226</v>
      </c>
      <c r="I31" s="122">
        <f>20000*1.2</f>
        <v>24000</v>
      </c>
      <c r="J31" s="315">
        <v>1</v>
      </c>
      <c r="K31" s="316">
        <f>I31*H31*J31</f>
        <v>5424000</v>
      </c>
      <c r="L31" s="122">
        <f t="shared" ref="L31:L41" si="1">K31/5</f>
        <v>1084800</v>
      </c>
      <c r="M31" s="317"/>
    </row>
    <row r="32" spans="2:13" ht="30">
      <c r="B32" s="273"/>
      <c r="C32" s="117" t="s">
        <v>344</v>
      </c>
      <c r="D32" s="118" t="s">
        <v>345</v>
      </c>
      <c r="E32" s="119">
        <v>15670</v>
      </c>
      <c r="F32" s="120">
        <v>3000000</v>
      </c>
      <c r="G32" s="121" t="s">
        <v>328</v>
      </c>
      <c r="H32" s="121" t="s">
        <v>328</v>
      </c>
      <c r="I32" s="122">
        <f>0.1*1.2</f>
        <v>0.12</v>
      </c>
      <c r="J32" s="315">
        <v>5</v>
      </c>
      <c r="K32" s="316">
        <f>F32*I32*J32</f>
        <v>1800000</v>
      </c>
      <c r="L32" s="122">
        <f t="shared" si="1"/>
        <v>360000</v>
      </c>
      <c r="M32" s="317" t="s">
        <v>346</v>
      </c>
    </row>
    <row r="33" spans="2:13" ht="45.75" customHeight="1">
      <c r="B33" s="273"/>
      <c r="C33" s="117" t="s">
        <v>326</v>
      </c>
      <c r="D33" s="118" t="s">
        <v>347</v>
      </c>
      <c r="E33" s="119">
        <v>15670</v>
      </c>
      <c r="F33" s="120">
        <v>3000000</v>
      </c>
      <c r="G33" s="121" t="s">
        <v>328</v>
      </c>
      <c r="H33" s="121" t="s">
        <v>328</v>
      </c>
      <c r="I33" s="122">
        <f>0.2*1.2</f>
        <v>0.24</v>
      </c>
      <c r="J33" s="315">
        <v>5</v>
      </c>
      <c r="K33" s="316">
        <f>F33*I33*J33</f>
        <v>3600000</v>
      </c>
      <c r="L33" s="122">
        <f t="shared" si="1"/>
        <v>720000</v>
      </c>
      <c r="M33" s="317" t="s">
        <v>346</v>
      </c>
    </row>
    <row r="34" spans="2:13" ht="45">
      <c r="B34" s="273"/>
      <c r="C34" s="117" t="s">
        <v>326</v>
      </c>
      <c r="D34" s="118" t="s">
        <v>81</v>
      </c>
      <c r="E34" s="123" t="s">
        <v>348</v>
      </c>
      <c r="F34" s="124"/>
      <c r="G34" s="124"/>
      <c r="H34" s="125"/>
      <c r="I34" s="124"/>
      <c r="J34" s="315"/>
      <c r="K34" s="124"/>
      <c r="L34" s="122">
        <f t="shared" si="1"/>
        <v>0</v>
      </c>
      <c r="M34" s="317"/>
    </row>
    <row r="35" spans="2:13" ht="42" customHeight="1">
      <c r="B35" s="273"/>
      <c r="C35" s="117" t="s">
        <v>332</v>
      </c>
      <c r="D35" s="118" t="s">
        <v>161</v>
      </c>
      <c r="E35" s="121" t="s">
        <v>328</v>
      </c>
      <c r="F35" s="126" t="s">
        <v>328</v>
      </c>
      <c r="G35" s="121" t="s">
        <v>328</v>
      </c>
      <c r="H35" s="127">
        <v>226</v>
      </c>
      <c r="I35" s="128">
        <f>20000*1.2</f>
        <v>24000</v>
      </c>
      <c r="J35" s="315">
        <v>1</v>
      </c>
      <c r="K35" s="316">
        <f>H35*I35*J35</f>
        <v>5424000</v>
      </c>
      <c r="L35" s="122">
        <f t="shared" si="1"/>
        <v>1084800</v>
      </c>
      <c r="M35" s="317" t="s">
        <v>327</v>
      </c>
    </row>
    <row r="36" spans="2:13" ht="56.5" customHeight="1">
      <c r="B36" s="273"/>
      <c r="C36" s="117" t="s">
        <v>166</v>
      </c>
      <c r="D36" s="118" t="s">
        <v>167</v>
      </c>
      <c r="E36" s="121" t="s">
        <v>328</v>
      </c>
      <c r="F36" s="126" t="s">
        <v>328</v>
      </c>
      <c r="G36" s="121" t="s">
        <v>328</v>
      </c>
      <c r="H36" s="127">
        <v>1</v>
      </c>
      <c r="I36" s="128">
        <v>420000</v>
      </c>
      <c r="J36" s="315">
        <v>1</v>
      </c>
      <c r="K36" s="316">
        <f>H36*I36*J36</f>
        <v>420000</v>
      </c>
      <c r="L36" s="122">
        <f t="shared" si="1"/>
        <v>84000</v>
      </c>
      <c r="M36" s="317" t="s">
        <v>327</v>
      </c>
    </row>
    <row r="37" spans="2:13" ht="45">
      <c r="B37" s="273"/>
      <c r="C37" s="117" t="s">
        <v>166</v>
      </c>
      <c r="D37" s="118" t="s">
        <v>173</v>
      </c>
      <c r="E37" s="121" t="s">
        <v>328</v>
      </c>
      <c r="F37" s="126">
        <v>500000</v>
      </c>
      <c r="G37" s="121" t="s">
        <v>328</v>
      </c>
      <c r="H37" s="127" t="s">
        <v>328</v>
      </c>
      <c r="I37" s="128">
        <v>4</v>
      </c>
      <c r="J37" s="315">
        <v>4</v>
      </c>
      <c r="K37" s="318">
        <f>I37*F37*J37</f>
        <v>8000000</v>
      </c>
      <c r="L37" s="122">
        <f t="shared" si="1"/>
        <v>1600000</v>
      </c>
      <c r="M37" s="317" t="s">
        <v>327</v>
      </c>
    </row>
    <row r="38" spans="2:13" ht="30">
      <c r="B38" s="273"/>
      <c r="C38" s="117" t="s">
        <v>166</v>
      </c>
      <c r="D38" s="118" t="s">
        <v>178</v>
      </c>
      <c r="E38" s="121" t="s">
        <v>328</v>
      </c>
      <c r="F38" s="126">
        <v>500000</v>
      </c>
      <c r="G38" s="121" t="s">
        <v>328</v>
      </c>
      <c r="H38" s="127" t="s">
        <v>328</v>
      </c>
      <c r="I38" s="128">
        <f>2*1.2</f>
        <v>2.4</v>
      </c>
      <c r="J38" s="315">
        <v>4</v>
      </c>
      <c r="K38" s="318">
        <f>F38*I38*J38</f>
        <v>4800000</v>
      </c>
      <c r="L38" s="122">
        <f t="shared" si="1"/>
        <v>960000</v>
      </c>
      <c r="M38" s="317" t="s">
        <v>327</v>
      </c>
    </row>
    <row r="39" spans="2:13" ht="42" customHeight="1">
      <c r="B39" s="273"/>
      <c r="C39" s="117" t="s">
        <v>166</v>
      </c>
      <c r="D39" s="118" t="s">
        <v>171</v>
      </c>
      <c r="E39" s="121" t="s">
        <v>328</v>
      </c>
      <c r="F39" s="126" t="s">
        <v>328</v>
      </c>
      <c r="G39" s="121" t="s">
        <v>328</v>
      </c>
      <c r="H39" s="127">
        <v>4</v>
      </c>
      <c r="I39" s="128">
        <v>750000</v>
      </c>
      <c r="J39" s="315">
        <v>1</v>
      </c>
      <c r="K39" s="318">
        <f>H39*I39*J39</f>
        <v>3000000</v>
      </c>
      <c r="L39" s="122">
        <f t="shared" si="1"/>
        <v>600000</v>
      </c>
      <c r="M39" s="317" t="s">
        <v>376</v>
      </c>
    </row>
    <row r="40" spans="2:13">
      <c r="B40" s="273"/>
      <c r="C40" s="117" t="s">
        <v>166</v>
      </c>
      <c r="D40" s="118" t="s">
        <v>349</v>
      </c>
      <c r="E40" s="121" t="s">
        <v>328</v>
      </c>
      <c r="F40" s="126" t="s">
        <v>328</v>
      </c>
      <c r="G40" s="121" t="s">
        <v>328</v>
      </c>
      <c r="H40" s="121">
        <v>100</v>
      </c>
      <c r="I40" s="128">
        <f>50000*1.2</f>
        <v>60000</v>
      </c>
      <c r="J40" s="315">
        <v>4.5</v>
      </c>
      <c r="K40" s="318">
        <f>H40*I40*J40</f>
        <v>27000000</v>
      </c>
      <c r="L40" s="122">
        <f t="shared" si="1"/>
        <v>5400000</v>
      </c>
      <c r="M40" s="317"/>
    </row>
    <row r="41" spans="2:13" ht="30.75" customHeight="1">
      <c r="B41" s="273"/>
      <c r="C41" s="117" t="s">
        <v>166</v>
      </c>
      <c r="D41" s="118" t="s">
        <v>186</v>
      </c>
      <c r="E41" s="121" t="s">
        <v>328</v>
      </c>
      <c r="F41" s="127">
        <v>3000000</v>
      </c>
      <c r="G41" s="121" t="s">
        <v>328</v>
      </c>
      <c r="H41" s="121" t="s">
        <v>328</v>
      </c>
      <c r="I41" s="122">
        <f>0.1*1.2</f>
        <v>0.12</v>
      </c>
      <c r="J41" s="319">
        <v>5</v>
      </c>
      <c r="K41" s="129">
        <f>3000000*I41*J41</f>
        <v>1800000</v>
      </c>
      <c r="L41" s="122">
        <f t="shared" si="1"/>
        <v>360000</v>
      </c>
      <c r="M41" s="317" t="s">
        <v>327</v>
      </c>
    </row>
    <row r="42" spans="2:13" ht="17" thickBot="1">
      <c r="B42" s="274"/>
      <c r="C42" s="130"/>
      <c r="D42" s="131" t="s">
        <v>342</v>
      </c>
      <c r="E42" s="132"/>
      <c r="F42" s="132"/>
      <c r="G42" s="132"/>
      <c r="H42" s="132"/>
      <c r="I42" s="320"/>
      <c r="J42" s="320"/>
      <c r="K42" s="133">
        <f>SUM(K41+K40+K39+K36+K35+K33+K32+K30+K31+K37+K38)</f>
        <v>61368000</v>
      </c>
      <c r="L42" s="311">
        <f>SUM(L30:L41)</f>
        <v>12273600</v>
      </c>
      <c r="M42" s="312">
        <f>K42/K76</f>
        <v>0.20301470619370848</v>
      </c>
    </row>
    <row r="43" spans="2:13" ht="45" customHeight="1">
      <c r="B43" s="285" t="s">
        <v>350</v>
      </c>
      <c r="C43" s="134" t="s">
        <v>326</v>
      </c>
      <c r="D43" s="301" t="s">
        <v>200</v>
      </c>
      <c r="E43" s="321">
        <v>15670</v>
      </c>
      <c r="F43" s="322">
        <v>2500000</v>
      </c>
      <c r="G43" s="135" t="s">
        <v>328</v>
      </c>
      <c r="H43" s="135" t="s">
        <v>328</v>
      </c>
      <c r="I43" s="136">
        <f>0.5*1.2</f>
        <v>0.6</v>
      </c>
      <c r="J43" s="323">
        <v>5</v>
      </c>
      <c r="K43" s="304">
        <f>I43*F43*J43</f>
        <v>7500000</v>
      </c>
      <c r="L43" s="136">
        <f>K43/5</f>
        <v>1500000</v>
      </c>
      <c r="M43" s="305" t="s">
        <v>351</v>
      </c>
    </row>
    <row r="44" spans="2:13" ht="60" customHeight="1">
      <c r="B44" s="286"/>
      <c r="C44" s="138" t="s">
        <v>326</v>
      </c>
      <c r="D44" s="88" t="s">
        <v>352</v>
      </c>
      <c r="E44" s="103" t="s">
        <v>328</v>
      </c>
      <c r="F44" s="103" t="s">
        <v>328</v>
      </c>
      <c r="G44" s="103" t="s">
        <v>328</v>
      </c>
      <c r="H44" s="94">
        <v>80</v>
      </c>
      <c r="I44" s="139">
        <v>6250</v>
      </c>
      <c r="J44" s="324">
        <v>1</v>
      </c>
      <c r="K44" s="137">
        <f>I44*H44*J44</f>
        <v>500000</v>
      </c>
      <c r="L44" s="91">
        <f t="shared" ref="L44:L59" si="2">K44/5</f>
        <v>100000</v>
      </c>
      <c r="M44" s="307" t="s">
        <v>353</v>
      </c>
    </row>
    <row r="45" spans="2:13" ht="58" customHeight="1">
      <c r="B45" s="286"/>
      <c r="C45" s="138" t="s">
        <v>326</v>
      </c>
      <c r="D45" s="88" t="s">
        <v>199</v>
      </c>
      <c r="E45" s="103" t="s">
        <v>328</v>
      </c>
      <c r="F45" s="103" t="s">
        <v>328</v>
      </c>
      <c r="G45" s="103" t="s">
        <v>328</v>
      </c>
      <c r="H45" s="94">
        <v>80</v>
      </c>
      <c r="I45" s="139">
        <v>6250</v>
      </c>
      <c r="J45" s="324">
        <v>1</v>
      </c>
      <c r="K45" s="137">
        <f>I45*H45*J45</f>
        <v>500000</v>
      </c>
      <c r="L45" s="91">
        <f t="shared" si="2"/>
        <v>100000</v>
      </c>
      <c r="M45" s="307" t="s">
        <v>353</v>
      </c>
    </row>
    <row r="46" spans="2:13" ht="35.25" customHeight="1">
      <c r="B46" s="287"/>
      <c r="C46" s="138" t="s">
        <v>326</v>
      </c>
      <c r="D46" s="88" t="s">
        <v>201</v>
      </c>
      <c r="E46" s="103" t="s">
        <v>328</v>
      </c>
      <c r="F46" s="103" t="s">
        <v>328</v>
      </c>
      <c r="G46" s="103" t="s">
        <v>328</v>
      </c>
      <c r="H46" s="140" t="s">
        <v>354</v>
      </c>
      <c r="I46" s="139">
        <f>25000*1.2</f>
        <v>30000</v>
      </c>
      <c r="J46" s="324">
        <v>5</v>
      </c>
      <c r="K46" s="137">
        <f>I46*J46*H46</f>
        <v>750000</v>
      </c>
      <c r="L46" s="91">
        <f t="shared" si="2"/>
        <v>150000</v>
      </c>
      <c r="M46" s="307"/>
    </row>
    <row r="47" spans="2:13" ht="35.25" customHeight="1">
      <c r="B47" s="287"/>
      <c r="C47" s="138" t="s">
        <v>326</v>
      </c>
      <c r="D47" s="88" t="s">
        <v>208</v>
      </c>
      <c r="E47" s="103" t="s">
        <v>328</v>
      </c>
      <c r="F47" s="141">
        <v>500000</v>
      </c>
      <c r="G47" s="103" t="s">
        <v>328</v>
      </c>
      <c r="H47" s="103" t="s">
        <v>328</v>
      </c>
      <c r="I47" s="91">
        <f>0.5*1.2</f>
        <v>0.6</v>
      </c>
      <c r="J47" s="324">
        <v>5</v>
      </c>
      <c r="K47" s="137">
        <f>I47*F47*J47</f>
        <v>1500000</v>
      </c>
      <c r="L47" s="91">
        <f t="shared" si="2"/>
        <v>300000</v>
      </c>
      <c r="M47" s="307" t="s">
        <v>327</v>
      </c>
    </row>
    <row r="48" spans="2:13" ht="35.25" customHeight="1">
      <c r="B48" s="287"/>
      <c r="C48" s="138" t="s">
        <v>326</v>
      </c>
      <c r="D48" s="88" t="s">
        <v>355</v>
      </c>
      <c r="E48" s="141">
        <v>150000</v>
      </c>
      <c r="F48" s="103" t="s">
        <v>328</v>
      </c>
      <c r="G48" s="103" t="s">
        <v>328</v>
      </c>
      <c r="H48" s="103" t="s">
        <v>328</v>
      </c>
      <c r="I48" s="91">
        <f>7*1.2</f>
        <v>8.4</v>
      </c>
      <c r="J48" s="324">
        <v>4</v>
      </c>
      <c r="K48" s="92">
        <f>I48*J48*E48</f>
        <v>5040000</v>
      </c>
      <c r="L48" s="91">
        <f t="shared" si="2"/>
        <v>1008000</v>
      </c>
      <c r="M48" s="307" t="s">
        <v>327</v>
      </c>
    </row>
    <row r="49" spans="2:13" ht="48.75" customHeight="1">
      <c r="B49" s="287"/>
      <c r="C49" s="138" t="s">
        <v>326</v>
      </c>
      <c r="D49" s="88" t="s">
        <v>210</v>
      </c>
      <c r="E49" s="103" t="s">
        <v>328</v>
      </c>
      <c r="F49" s="103" t="s">
        <v>328</v>
      </c>
      <c r="G49" s="103" t="s">
        <v>328</v>
      </c>
      <c r="H49" s="103" t="s">
        <v>328</v>
      </c>
      <c r="I49" s="139">
        <v>100000</v>
      </c>
      <c r="J49" s="324">
        <v>1</v>
      </c>
      <c r="K49" s="92">
        <f>I49*J49</f>
        <v>100000</v>
      </c>
      <c r="L49" s="91">
        <f t="shared" si="2"/>
        <v>20000</v>
      </c>
      <c r="M49" s="307" t="s">
        <v>327</v>
      </c>
    </row>
    <row r="50" spans="2:13" ht="80.5" customHeight="1">
      <c r="B50" s="287"/>
      <c r="C50" s="138" t="s">
        <v>326</v>
      </c>
      <c r="D50" s="88" t="s">
        <v>214</v>
      </c>
      <c r="E50" s="103" t="s">
        <v>328</v>
      </c>
      <c r="F50" s="103" t="s">
        <v>328</v>
      </c>
      <c r="G50" s="103" t="s">
        <v>328</v>
      </c>
      <c r="H50" s="103" t="s">
        <v>328</v>
      </c>
      <c r="I50" s="139">
        <v>100000</v>
      </c>
      <c r="J50" s="324">
        <v>1</v>
      </c>
      <c r="K50" s="92">
        <f>I50*J50</f>
        <v>100000</v>
      </c>
      <c r="L50" s="91">
        <f t="shared" si="2"/>
        <v>20000</v>
      </c>
      <c r="M50" s="307" t="s">
        <v>327</v>
      </c>
    </row>
    <row r="51" spans="2:13" ht="52.5" customHeight="1">
      <c r="B51" s="287"/>
      <c r="C51" s="138" t="s">
        <v>332</v>
      </c>
      <c r="D51" s="88" t="s">
        <v>356</v>
      </c>
      <c r="E51" s="103" t="s">
        <v>328</v>
      </c>
      <c r="F51" s="141">
        <v>1000000</v>
      </c>
      <c r="G51" s="103" t="s">
        <v>328</v>
      </c>
      <c r="H51" s="103" t="s">
        <v>328</v>
      </c>
      <c r="I51" s="91">
        <v>7</v>
      </c>
      <c r="J51" s="324">
        <v>1</v>
      </c>
      <c r="K51" s="92">
        <f>F51*I51*J51</f>
        <v>7000000</v>
      </c>
      <c r="L51" s="91">
        <f t="shared" si="2"/>
        <v>1400000</v>
      </c>
      <c r="M51" s="307" t="s">
        <v>327</v>
      </c>
    </row>
    <row r="52" spans="2:13" ht="69.75" customHeight="1">
      <c r="B52" s="287"/>
      <c r="C52" s="138" t="s">
        <v>332</v>
      </c>
      <c r="D52" s="88" t="s">
        <v>222</v>
      </c>
      <c r="E52" s="142">
        <v>350000</v>
      </c>
      <c r="F52" s="141">
        <v>1000000</v>
      </c>
      <c r="G52" s="142">
        <v>260000</v>
      </c>
      <c r="H52" s="103">
        <v>80</v>
      </c>
      <c r="I52" s="139">
        <f>40000*1.2</f>
        <v>48000</v>
      </c>
      <c r="J52" s="324">
        <v>5</v>
      </c>
      <c r="K52" s="92">
        <f>I52*H52*J52</f>
        <v>19200000</v>
      </c>
      <c r="L52" s="91">
        <f t="shared" si="2"/>
        <v>3840000</v>
      </c>
      <c r="M52" s="307" t="s">
        <v>327</v>
      </c>
    </row>
    <row r="53" spans="2:13" ht="50.5" customHeight="1">
      <c r="B53" s="287"/>
      <c r="C53" s="138" t="s">
        <v>332</v>
      </c>
      <c r="D53" s="88" t="s">
        <v>226</v>
      </c>
      <c r="E53" s="103" t="s">
        <v>328</v>
      </c>
      <c r="F53" s="103" t="s">
        <v>328</v>
      </c>
      <c r="G53" s="103" t="s">
        <v>328</v>
      </c>
      <c r="H53" s="103">
        <v>1</v>
      </c>
      <c r="I53" s="139">
        <f>120000</f>
        <v>120000</v>
      </c>
      <c r="J53" s="324">
        <v>1</v>
      </c>
      <c r="K53" s="92">
        <f>H53*I53*J53</f>
        <v>120000</v>
      </c>
      <c r="L53" s="91">
        <f t="shared" si="2"/>
        <v>24000</v>
      </c>
      <c r="M53" s="307"/>
    </row>
    <row r="54" spans="2:13" ht="25.5" customHeight="1">
      <c r="B54" s="287"/>
      <c r="C54" s="138" t="s">
        <v>332</v>
      </c>
      <c r="D54" s="88" t="s">
        <v>357</v>
      </c>
      <c r="E54" s="142">
        <v>600000</v>
      </c>
      <c r="F54" s="103" t="s">
        <v>328</v>
      </c>
      <c r="G54" s="103" t="s">
        <v>328</v>
      </c>
      <c r="H54" s="103" t="s">
        <v>328</v>
      </c>
      <c r="I54" s="139">
        <v>10</v>
      </c>
      <c r="J54" s="324">
        <v>1</v>
      </c>
      <c r="K54" s="92">
        <f>I54*E54*J54</f>
        <v>6000000</v>
      </c>
      <c r="L54" s="91">
        <f t="shared" si="2"/>
        <v>1200000</v>
      </c>
      <c r="M54" s="307"/>
    </row>
    <row r="55" spans="2:13" ht="35.25" customHeight="1">
      <c r="B55" s="287"/>
      <c r="C55" s="138" t="s">
        <v>332</v>
      </c>
      <c r="D55" s="88" t="s">
        <v>229</v>
      </c>
      <c r="E55" s="103" t="s">
        <v>328</v>
      </c>
      <c r="F55" s="141">
        <v>1000000</v>
      </c>
      <c r="G55" s="103" t="s">
        <v>328</v>
      </c>
      <c r="H55" s="103" t="s">
        <v>328</v>
      </c>
      <c r="I55" s="91">
        <v>3</v>
      </c>
      <c r="J55" s="324">
        <v>1</v>
      </c>
      <c r="K55" s="92">
        <f>I55*F55*J55</f>
        <v>3000000</v>
      </c>
      <c r="L55" s="91">
        <f t="shared" si="2"/>
        <v>600000</v>
      </c>
      <c r="M55" s="307" t="s">
        <v>327</v>
      </c>
    </row>
    <row r="56" spans="2:13" ht="42" customHeight="1">
      <c r="B56" s="287"/>
      <c r="C56" s="138" t="s">
        <v>230</v>
      </c>
      <c r="D56" s="88" t="s">
        <v>131</v>
      </c>
      <c r="E56" s="103" t="s">
        <v>328</v>
      </c>
      <c r="F56" s="141">
        <v>65000</v>
      </c>
      <c r="G56" s="103" t="s">
        <v>328</v>
      </c>
      <c r="H56" s="103" t="s">
        <v>328</v>
      </c>
      <c r="I56" s="91">
        <f>40*1.2</f>
        <v>48</v>
      </c>
      <c r="J56" s="324">
        <v>1</v>
      </c>
      <c r="K56" s="92">
        <f>I56*F56*J56</f>
        <v>3120000</v>
      </c>
      <c r="L56" s="91">
        <f t="shared" si="2"/>
        <v>624000</v>
      </c>
      <c r="M56" s="307" t="s">
        <v>327</v>
      </c>
    </row>
    <row r="57" spans="2:13" ht="42" customHeight="1">
      <c r="B57" s="287"/>
      <c r="C57" s="138" t="s">
        <v>230</v>
      </c>
      <c r="D57" s="88" t="s">
        <v>358</v>
      </c>
      <c r="E57" s="103" t="s">
        <v>328</v>
      </c>
      <c r="F57" s="141">
        <v>53762</v>
      </c>
      <c r="G57" s="103" t="s">
        <v>328</v>
      </c>
      <c r="H57" s="103" t="s">
        <v>328</v>
      </c>
      <c r="I57" s="91">
        <v>12</v>
      </c>
      <c r="J57" s="324">
        <v>5</v>
      </c>
      <c r="K57" s="92">
        <f>F57*I57*J57</f>
        <v>3225720</v>
      </c>
      <c r="L57" s="91">
        <f t="shared" si="2"/>
        <v>645144</v>
      </c>
      <c r="M57" s="307"/>
    </row>
    <row r="58" spans="2:13" ht="57.75" customHeight="1">
      <c r="B58" s="287"/>
      <c r="C58" s="138" t="s">
        <v>230</v>
      </c>
      <c r="D58" s="88" t="s">
        <v>234</v>
      </c>
      <c r="E58" s="103" t="s">
        <v>328</v>
      </c>
      <c r="F58" s="143" t="s">
        <v>328</v>
      </c>
      <c r="G58" s="103" t="s">
        <v>328</v>
      </c>
      <c r="H58" s="103">
        <v>150</v>
      </c>
      <c r="I58" s="139">
        <f>20000*1.2</f>
        <v>24000</v>
      </c>
      <c r="J58" s="324">
        <v>5</v>
      </c>
      <c r="K58" s="92">
        <f>I58*J58*H58</f>
        <v>18000000</v>
      </c>
      <c r="L58" s="91">
        <f t="shared" si="2"/>
        <v>3600000</v>
      </c>
      <c r="M58" s="307" t="s">
        <v>327</v>
      </c>
    </row>
    <row r="59" spans="2:13" ht="35.25" customHeight="1">
      <c r="B59" s="288"/>
      <c r="C59" s="138" t="s">
        <v>230</v>
      </c>
      <c r="D59" s="88" t="s">
        <v>237</v>
      </c>
      <c r="E59" s="103" t="s">
        <v>328</v>
      </c>
      <c r="F59" s="143" t="s">
        <v>328</v>
      </c>
      <c r="G59" s="103" t="s">
        <v>328</v>
      </c>
      <c r="H59" s="103">
        <v>1</v>
      </c>
      <c r="I59" s="139">
        <v>36000</v>
      </c>
      <c r="J59" s="324">
        <v>5</v>
      </c>
      <c r="K59" s="92">
        <f>I59*J59</f>
        <v>180000</v>
      </c>
      <c r="L59" s="91">
        <f t="shared" si="2"/>
        <v>36000</v>
      </c>
      <c r="M59" s="307"/>
    </row>
    <row r="60" spans="2:13" ht="17" thickBot="1">
      <c r="B60" s="325"/>
      <c r="C60" s="326"/>
      <c r="D60" s="327" t="s">
        <v>342</v>
      </c>
      <c r="E60" s="328"/>
      <c r="F60" s="328"/>
      <c r="G60" s="328"/>
      <c r="H60" s="328"/>
      <c r="I60" s="329"/>
      <c r="J60" s="320"/>
      <c r="K60" s="330">
        <f>SUM(K43:K59)</f>
        <v>75835720</v>
      </c>
      <c r="L60" s="311">
        <f>SUM(L43:L59)</f>
        <v>15167144</v>
      </c>
      <c r="M60" s="312">
        <f>K60/K76</f>
        <v>0.25087613112352269</v>
      </c>
    </row>
    <row r="61" spans="2:13" ht="45">
      <c r="B61" s="271" t="s">
        <v>359</v>
      </c>
      <c r="C61" s="112" t="s">
        <v>326</v>
      </c>
      <c r="D61" s="113" t="s">
        <v>245</v>
      </c>
      <c r="E61" s="114" t="s">
        <v>328</v>
      </c>
      <c r="F61" s="144">
        <v>3000000</v>
      </c>
      <c r="G61" s="114" t="s">
        <v>328</v>
      </c>
      <c r="H61" s="114" t="s">
        <v>328</v>
      </c>
      <c r="I61" s="115">
        <f>1.2*0.2</f>
        <v>0.24</v>
      </c>
      <c r="J61" s="331">
        <v>5</v>
      </c>
      <c r="K61" s="116">
        <f>F61*I61*J61</f>
        <v>3600000</v>
      </c>
      <c r="L61" s="115">
        <f>K61/5</f>
        <v>720000</v>
      </c>
      <c r="M61" s="314" t="s">
        <v>327</v>
      </c>
    </row>
    <row r="62" spans="2:13">
      <c r="B62" s="272"/>
      <c r="C62" s="332" t="s">
        <v>326</v>
      </c>
      <c r="D62" s="118" t="s">
        <v>377</v>
      </c>
      <c r="E62" s="333"/>
      <c r="F62" s="334">
        <v>500000</v>
      </c>
      <c r="G62" s="333"/>
      <c r="H62" s="333"/>
      <c r="I62" s="128">
        <v>10</v>
      </c>
      <c r="J62" s="315">
        <v>5</v>
      </c>
      <c r="K62" s="335">
        <f>5000000*5</f>
        <v>25000000</v>
      </c>
      <c r="L62" s="122">
        <f>K62/5</f>
        <v>5000000</v>
      </c>
      <c r="M62" s="317"/>
    </row>
    <row r="63" spans="2:13" ht="60.75" customHeight="1">
      <c r="B63" s="272"/>
      <c r="C63" s="117" t="s">
        <v>326</v>
      </c>
      <c r="D63" s="118" t="s">
        <v>248</v>
      </c>
      <c r="E63" s="121" t="s">
        <v>328</v>
      </c>
      <c r="F63" s="121" t="s">
        <v>328</v>
      </c>
      <c r="G63" s="121" t="s">
        <v>328</v>
      </c>
      <c r="H63" s="145">
        <v>80</v>
      </c>
      <c r="I63" s="128">
        <v>1250</v>
      </c>
      <c r="J63" s="315">
        <v>5</v>
      </c>
      <c r="K63" s="335">
        <f>I63*H63*J63</f>
        <v>500000</v>
      </c>
      <c r="L63" s="122">
        <f t="shared" ref="L63:L74" si="3">K63/5</f>
        <v>100000</v>
      </c>
      <c r="M63" s="317" t="s">
        <v>327</v>
      </c>
    </row>
    <row r="64" spans="2:13" ht="71.25" customHeight="1">
      <c r="B64" s="272"/>
      <c r="C64" s="117" t="s">
        <v>326</v>
      </c>
      <c r="D64" s="118" t="s">
        <v>251</v>
      </c>
      <c r="E64" s="121" t="s">
        <v>328</v>
      </c>
      <c r="F64" s="121" t="s">
        <v>328</v>
      </c>
      <c r="G64" s="121" t="s">
        <v>328</v>
      </c>
      <c r="H64" s="145">
        <v>80</v>
      </c>
      <c r="I64" s="128">
        <v>1250</v>
      </c>
      <c r="J64" s="315">
        <v>5</v>
      </c>
      <c r="K64" s="335">
        <f>I64*H64*J64</f>
        <v>500000</v>
      </c>
      <c r="L64" s="122">
        <f t="shared" si="3"/>
        <v>100000</v>
      </c>
      <c r="M64" s="317" t="s">
        <v>327</v>
      </c>
    </row>
    <row r="65" spans="2:13" ht="46" customHeight="1">
      <c r="B65" s="273"/>
      <c r="C65" s="117" t="s">
        <v>326</v>
      </c>
      <c r="D65" s="118" t="s">
        <v>252</v>
      </c>
      <c r="E65" s="121" t="s">
        <v>328</v>
      </c>
      <c r="F65" s="121" t="s">
        <v>328</v>
      </c>
      <c r="G65" s="121" t="s">
        <v>328</v>
      </c>
      <c r="H65" s="146">
        <v>5</v>
      </c>
      <c r="I65" s="128">
        <v>120000</v>
      </c>
      <c r="J65" s="315">
        <v>5</v>
      </c>
      <c r="K65" s="129">
        <f>I65*J65</f>
        <v>600000</v>
      </c>
      <c r="L65" s="122">
        <f t="shared" si="3"/>
        <v>120000</v>
      </c>
      <c r="M65" s="317" t="s">
        <v>327</v>
      </c>
    </row>
    <row r="66" spans="2:13" ht="40" customHeight="1">
      <c r="B66" s="273"/>
      <c r="C66" s="117" t="s">
        <v>326</v>
      </c>
      <c r="D66" s="118" t="s">
        <v>253</v>
      </c>
      <c r="E66" s="121" t="s">
        <v>328</v>
      </c>
      <c r="F66" s="121" t="s">
        <v>328</v>
      </c>
      <c r="G66" s="121" t="s">
        <v>328</v>
      </c>
      <c r="H66" s="146">
        <v>5</v>
      </c>
      <c r="I66" s="128">
        <v>120000</v>
      </c>
      <c r="J66" s="315">
        <v>1</v>
      </c>
      <c r="K66" s="129">
        <f>I66*J66*H66</f>
        <v>600000</v>
      </c>
      <c r="L66" s="122">
        <f t="shared" si="3"/>
        <v>120000</v>
      </c>
      <c r="M66" s="317" t="s">
        <v>327</v>
      </c>
    </row>
    <row r="67" spans="2:13" ht="40" customHeight="1">
      <c r="B67" s="273"/>
      <c r="C67" s="117" t="s">
        <v>326</v>
      </c>
      <c r="D67" s="118" t="s">
        <v>257</v>
      </c>
      <c r="E67" s="121" t="s">
        <v>328</v>
      </c>
      <c r="F67" s="121" t="s">
        <v>328</v>
      </c>
      <c r="G67" s="121" t="s">
        <v>328</v>
      </c>
      <c r="H67" s="146">
        <v>5</v>
      </c>
      <c r="I67" s="128">
        <v>300000</v>
      </c>
      <c r="J67" s="315">
        <v>1</v>
      </c>
      <c r="K67" s="129">
        <f>H67*I67*J67</f>
        <v>1500000</v>
      </c>
      <c r="L67" s="122">
        <f t="shared" si="3"/>
        <v>300000</v>
      </c>
      <c r="M67" s="317" t="s">
        <v>360</v>
      </c>
    </row>
    <row r="68" spans="2:13" ht="25.5" customHeight="1">
      <c r="B68" s="273"/>
      <c r="C68" s="117" t="s">
        <v>326</v>
      </c>
      <c r="D68" s="118" t="s">
        <v>261</v>
      </c>
      <c r="E68" s="121" t="s">
        <v>328</v>
      </c>
      <c r="F68" s="147">
        <v>200000</v>
      </c>
      <c r="G68" s="121" t="s">
        <v>328</v>
      </c>
      <c r="H68" s="121" t="s">
        <v>328</v>
      </c>
      <c r="I68" s="122">
        <f>0.1*1.2</f>
        <v>0.12</v>
      </c>
      <c r="J68" s="315">
        <v>4.5</v>
      </c>
      <c r="K68" s="129">
        <f>I68*F68*J68</f>
        <v>108000</v>
      </c>
      <c r="L68" s="122">
        <f t="shared" si="3"/>
        <v>21600</v>
      </c>
      <c r="M68" s="317" t="s">
        <v>327</v>
      </c>
    </row>
    <row r="69" spans="2:13" ht="31.5" customHeight="1">
      <c r="B69" s="273"/>
      <c r="C69" s="117" t="s">
        <v>332</v>
      </c>
      <c r="D69" s="118" t="s">
        <v>361</v>
      </c>
      <c r="E69" s="121" t="s">
        <v>328</v>
      </c>
      <c r="F69" s="121" t="s">
        <v>328</v>
      </c>
      <c r="G69" s="121" t="s">
        <v>328</v>
      </c>
      <c r="H69" s="121">
        <v>1</v>
      </c>
      <c r="I69" s="128">
        <v>900000</v>
      </c>
      <c r="J69" s="315">
        <v>1</v>
      </c>
      <c r="K69" s="129">
        <f>H69*I69*J69</f>
        <v>900000</v>
      </c>
      <c r="L69" s="122">
        <f t="shared" si="3"/>
        <v>180000</v>
      </c>
      <c r="M69" s="317" t="s">
        <v>362</v>
      </c>
    </row>
    <row r="70" spans="2:13" ht="50.25" customHeight="1">
      <c r="B70" s="273"/>
      <c r="C70" s="117" t="s">
        <v>332</v>
      </c>
      <c r="D70" s="118" t="s">
        <v>268</v>
      </c>
      <c r="E70" s="121" t="s">
        <v>328</v>
      </c>
      <c r="F70" s="121" t="s">
        <v>328</v>
      </c>
      <c r="G70" s="121" t="s">
        <v>328</v>
      </c>
      <c r="H70" s="121" t="s">
        <v>328</v>
      </c>
      <c r="I70" s="128">
        <f>150000*1.2*1.2</f>
        <v>216000</v>
      </c>
      <c r="J70" s="315">
        <v>5</v>
      </c>
      <c r="K70" s="129">
        <f>150000*J70</f>
        <v>750000</v>
      </c>
      <c r="L70" s="122">
        <f t="shared" si="3"/>
        <v>150000</v>
      </c>
      <c r="M70" s="317" t="s">
        <v>363</v>
      </c>
    </row>
    <row r="71" spans="2:13" ht="50.25" customHeight="1">
      <c r="B71" s="273"/>
      <c r="C71" s="117" t="s">
        <v>332</v>
      </c>
      <c r="D71" s="118" t="s">
        <v>272</v>
      </c>
      <c r="E71" s="121" t="s">
        <v>328</v>
      </c>
      <c r="F71" s="121" t="s">
        <v>328</v>
      </c>
      <c r="G71" s="121" t="s">
        <v>328</v>
      </c>
      <c r="H71" s="121">
        <v>1</v>
      </c>
      <c r="I71" s="128">
        <v>180000</v>
      </c>
      <c r="J71" s="315">
        <v>1</v>
      </c>
      <c r="K71" s="129">
        <f>I71*H71*J71</f>
        <v>180000</v>
      </c>
      <c r="L71" s="122">
        <f t="shared" si="3"/>
        <v>36000</v>
      </c>
      <c r="M71" s="317" t="s">
        <v>327</v>
      </c>
    </row>
    <row r="72" spans="2:13" ht="44.25" customHeight="1">
      <c r="B72" s="273"/>
      <c r="C72" s="117" t="s">
        <v>332</v>
      </c>
      <c r="D72" s="118" t="s">
        <v>364</v>
      </c>
      <c r="E72" s="121" t="s">
        <v>328</v>
      </c>
      <c r="F72" s="147">
        <v>200000</v>
      </c>
      <c r="G72" s="121" t="s">
        <v>328</v>
      </c>
      <c r="H72" s="121" t="s">
        <v>328</v>
      </c>
      <c r="I72" s="122">
        <f>4*1.2</f>
        <v>4.8</v>
      </c>
      <c r="J72" s="315">
        <v>4.5</v>
      </c>
      <c r="K72" s="129">
        <f>I72*J72*F72</f>
        <v>4320000</v>
      </c>
      <c r="L72" s="122">
        <f t="shared" si="3"/>
        <v>864000</v>
      </c>
      <c r="M72" s="317" t="s">
        <v>327</v>
      </c>
    </row>
    <row r="73" spans="2:13" ht="30.75" customHeight="1">
      <c r="B73" s="273"/>
      <c r="C73" s="117" t="s">
        <v>332</v>
      </c>
      <c r="D73" s="118" t="s">
        <v>280</v>
      </c>
      <c r="E73" s="121" t="s">
        <v>328</v>
      </c>
      <c r="F73" s="121" t="s">
        <v>328</v>
      </c>
      <c r="G73" s="121" t="s">
        <v>328</v>
      </c>
      <c r="H73" s="121">
        <v>1</v>
      </c>
      <c r="I73" s="122">
        <f>75000*1.2</f>
        <v>90000</v>
      </c>
      <c r="J73" s="315">
        <v>5</v>
      </c>
      <c r="K73" s="129">
        <f>I73*J73*H73</f>
        <v>450000</v>
      </c>
      <c r="L73" s="122">
        <f t="shared" si="3"/>
        <v>90000</v>
      </c>
      <c r="M73" s="317" t="s">
        <v>327</v>
      </c>
    </row>
    <row r="74" spans="2:13" ht="30">
      <c r="B74" s="273"/>
      <c r="C74" s="117" t="s">
        <v>230</v>
      </c>
      <c r="D74" s="118" t="s">
        <v>283</v>
      </c>
      <c r="E74" s="121" t="s">
        <v>328</v>
      </c>
      <c r="F74" s="121" t="s">
        <v>328</v>
      </c>
      <c r="G74" s="121" t="s">
        <v>328</v>
      </c>
      <c r="H74" s="146">
        <v>5</v>
      </c>
      <c r="I74" s="122">
        <f>20000*1.2</f>
        <v>24000</v>
      </c>
      <c r="J74" s="315">
        <v>5</v>
      </c>
      <c r="K74" s="129">
        <f>H74*I74*J74</f>
        <v>600000</v>
      </c>
      <c r="L74" s="122">
        <f t="shared" si="3"/>
        <v>120000</v>
      </c>
      <c r="M74" s="317" t="s">
        <v>327</v>
      </c>
    </row>
    <row r="75" spans="2:13" ht="17" thickBot="1">
      <c r="B75" s="274"/>
      <c r="C75" s="37"/>
      <c r="D75" s="131" t="s">
        <v>342</v>
      </c>
      <c r="E75" s="328"/>
      <c r="F75" s="328"/>
      <c r="G75" s="328"/>
      <c r="H75" s="328"/>
      <c r="I75" s="329"/>
      <c r="J75" s="320"/>
      <c r="K75" s="133">
        <f>SUM(K61:K74)</f>
        <v>39608000</v>
      </c>
      <c r="L75" s="311">
        <f>SUM(L61:L74)</f>
        <v>7921600</v>
      </c>
      <c r="M75" s="312">
        <f>K75/K76</f>
        <v>0.13102930652653508</v>
      </c>
    </row>
    <row r="76" spans="2:13" ht="28" customHeight="1" thickBot="1">
      <c r="D76" s="148" t="s">
        <v>365</v>
      </c>
      <c r="E76" s="149"/>
      <c r="F76" s="149"/>
      <c r="G76" s="149"/>
      <c r="H76" s="149"/>
      <c r="I76" s="336"/>
      <c r="J76" s="337"/>
      <c r="K76" s="338">
        <f>K75++K60+K42+K29</f>
        <v>302283520</v>
      </c>
      <c r="L76" s="339">
        <f>L75+L29+L42+L60</f>
        <v>60456704</v>
      </c>
      <c r="M76" s="340"/>
    </row>
    <row r="80" spans="2:13">
      <c r="G80" s="275" t="s">
        <v>366</v>
      </c>
      <c r="H80" s="276"/>
      <c r="I80" s="276"/>
      <c r="J80" s="276"/>
      <c r="K80" s="277"/>
      <c r="L80" s="341"/>
    </row>
    <row r="81" spans="5:12">
      <c r="E81" s="150" t="s">
        <v>367</v>
      </c>
      <c r="F81" s="150" t="s">
        <v>368</v>
      </c>
      <c r="G81" s="150" t="s">
        <v>369</v>
      </c>
      <c r="H81" s="150" t="s">
        <v>370</v>
      </c>
      <c r="I81" s="151" t="s">
        <v>371</v>
      </c>
      <c r="J81" s="151"/>
      <c r="K81" s="151" t="s">
        <v>80</v>
      </c>
      <c r="L81" s="342"/>
    </row>
    <row r="82" spans="5:12">
      <c r="E82" s="152" t="s">
        <v>28</v>
      </c>
      <c r="F82" s="153">
        <v>50</v>
      </c>
      <c r="G82" s="154">
        <v>165805.30440850038</v>
      </c>
      <c r="H82" s="154">
        <v>376141.17628671223</v>
      </c>
      <c r="I82" s="155">
        <v>1492247.7396765035</v>
      </c>
      <c r="J82" s="155"/>
      <c r="K82" s="154">
        <v>322136.01999365771</v>
      </c>
      <c r="L82" s="343"/>
    </row>
    <row r="83" spans="5:12">
      <c r="E83" s="152" t="s">
        <v>25</v>
      </c>
      <c r="F83" s="153">
        <v>48</v>
      </c>
      <c r="G83" s="154">
        <v>47730.217087505269</v>
      </c>
      <c r="H83" s="154">
        <v>95460.00164472207</v>
      </c>
      <c r="I83" s="155">
        <v>429567.95378754754</v>
      </c>
      <c r="J83" s="155"/>
      <c r="K83" s="154">
        <v>125011.56049450533</v>
      </c>
      <c r="L83" s="343"/>
    </row>
    <row r="84" spans="5:12">
      <c r="E84" s="152" t="s">
        <v>19</v>
      </c>
      <c r="F84" s="153">
        <v>30</v>
      </c>
      <c r="G84" s="154">
        <v>48340.320512820515</v>
      </c>
      <c r="H84" s="154">
        <v>96680.641025641162</v>
      </c>
      <c r="I84" s="155">
        <v>435062.88461538462</v>
      </c>
      <c r="J84" s="155"/>
      <c r="K84" s="154">
        <v>93918.336996336933</v>
      </c>
      <c r="L84" s="343"/>
    </row>
    <row r="85" spans="5:12">
      <c r="E85" s="152" t="s">
        <v>30</v>
      </c>
      <c r="F85" s="153">
        <v>71</v>
      </c>
      <c r="G85" s="154">
        <v>31139.134906716165</v>
      </c>
      <c r="H85" s="154">
        <v>62278.269813432329</v>
      </c>
      <c r="I85" s="155">
        <v>280252.21416044573</v>
      </c>
      <c r="J85" s="155"/>
      <c r="K85" s="154">
        <v>142350.33100213119</v>
      </c>
      <c r="L85" s="343"/>
    </row>
    <row r="86" spans="5:12">
      <c r="E86" s="152" t="s">
        <v>22</v>
      </c>
      <c r="F86" s="153">
        <v>9</v>
      </c>
      <c r="G86" s="154">
        <v>10098.666666666668</v>
      </c>
      <c r="H86" s="154">
        <v>20197.333333333336</v>
      </c>
      <c r="I86" s="155">
        <v>90888.000000000015</v>
      </c>
      <c r="J86" s="155"/>
      <c r="K86" s="154">
        <v>19620.266666666666</v>
      </c>
      <c r="L86" s="343"/>
    </row>
    <row r="87" spans="5:12">
      <c r="E87" s="152" t="s">
        <v>372</v>
      </c>
      <c r="F87" s="153">
        <v>16</v>
      </c>
      <c r="G87" s="154">
        <v>23271</v>
      </c>
      <c r="H87" s="154">
        <v>51863</v>
      </c>
      <c r="I87" s="155">
        <v>208781</v>
      </c>
      <c r="J87" s="155"/>
      <c r="K87" s="154">
        <v>45214</v>
      </c>
      <c r="L87" s="343"/>
    </row>
    <row r="88" spans="5:12">
      <c r="E88" s="156"/>
      <c r="F88" s="157">
        <v>226</v>
      </c>
      <c r="G88" s="158">
        <v>326384.64358220901</v>
      </c>
      <c r="H88" s="158">
        <v>702620.42210384121</v>
      </c>
      <c r="I88" s="159">
        <v>2936799.7922398811</v>
      </c>
      <c r="J88" s="159"/>
      <c r="K88" s="158">
        <v>748250.51515329792</v>
      </c>
      <c r="L88" s="344"/>
    </row>
    <row r="90" spans="5:12">
      <c r="F90" s="160">
        <v>80</v>
      </c>
      <c r="G90" s="161">
        <v>115534.23613717001</v>
      </c>
      <c r="H90" s="161">
        <v>248715.0448299901</v>
      </c>
      <c r="I90" s="162">
        <v>1039575.2048805478</v>
      </c>
      <c r="J90" s="162"/>
      <c r="K90" s="161">
        <v>264867.45504230278</v>
      </c>
      <c r="L90" s="345"/>
    </row>
  </sheetData>
  <mergeCells count="14">
    <mergeCell ref="M7:M8"/>
    <mergeCell ref="B61:B75"/>
    <mergeCell ref="G80:K80"/>
    <mergeCell ref="B2:D2"/>
    <mergeCell ref="B3:D3"/>
    <mergeCell ref="B5:D5"/>
    <mergeCell ref="C7:C8"/>
    <mergeCell ref="D7:D8"/>
    <mergeCell ref="I7:I8"/>
    <mergeCell ref="K7:K8"/>
    <mergeCell ref="B9:B29"/>
    <mergeCell ref="B30:B42"/>
    <mergeCell ref="B43:B60"/>
    <mergeCell ref="E7:H7"/>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Roadmap</vt:lpstr>
      <vt:lpstr>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Carr</dc:creator>
  <cp:lastModifiedBy>Sarah Carr</cp:lastModifiedBy>
  <dcterms:created xsi:type="dcterms:W3CDTF">2021-11-11T20:30:40Z</dcterms:created>
  <dcterms:modified xsi:type="dcterms:W3CDTF">2021-12-06T19:25:32Z</dcterms:modified>
</cp:coreProperties>
</file>